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Windows="1"/>
  <bookViews>
    <workbookView xWindow="0" yWindow="0" windowWidth="16380" windowHeight="8190" tabRatio="500" activeTab="1"/>
  </bookViews>
  <sheets>
    <sheet name="-3,600(1 этаж)" sheetId="5" r:id="rId1"/>
    <sheet name="+0,000(2 этаж)" sheetId="1" r:id="rId2"/>
    <sheet name="+3,300(3 этаж)" sheetId="2" r:id="rId3"/>
    <sheet name="+6,600(4 этаж)" sheetId="3" r:id="rId4"/>
    <sheet name="+9,900(5 этаж)" sheetId="4" r:id="rId5"/>
    <sheet name="+18,300(7 этаж)" sheetId="6" r:id="rId6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9" i="4"/>
  <c r="K9"/>
  <c r="I9"/>
  <c r="G9"/>
  <c r="F9"/>
  <c r="E9"/>
  <c r="E9" i="3"/>
  <c r="L14"/>
  <c r="J9"/>
  <c r="I9"/>
  <c r="H9"/>
  <c r="G9"/>
  <c r="F9"/>
  <c r="D19" i="5"/>
  <c r="F15" i="6" l="1"/>
  <c r="E15"/>
  <c r="D15"/>
  <c r="C15"/>
  <c r="C14" s="1"/>
  <c r="C17" s="1"/>
  <c r="F14"/>
  <c r="F17" s="1"/>
  <c r="E14"/>
  <c r="E17" s="1"/>
  <c r="D14"/>
  <c r="D17" s="1"/>
  <c r="F8"/>
  <c r="F7"/>
  <c r="E7"/>
  <c r="E6" s="1"/>
  <c r="E9" s="1"/>
  <c r="C7"/>
  <c r="C6" s="1"/>
  <c r="C9" s="1"/>
  <c r="F6"/>
  <c r="F9" s="1"/>
  <c r="M19" i="4"/>
  <c r="I19"/>
  <c r="C19"/>
  <c r="M18"/>
  <c r="M17" s="1"/>
  <c r="M20" s="1"/>
  <c r="K18"/>
  <c r="I18"/>
  <c r="I17" s="1"/>
  <c r="I20" s="1"/>
  <c r="E18"/>
  <c r="E17" s="1"/>
  <c r="E20" s="1"/>
  <c r="D18"/>
  <c r="D17" s="1"/>
  <c r="D20" s="1"/>
  <c r="C18"/>
  <c r="K17"/>
  <c r="K20" s="1"/>
  <c r="C8"/>
  <c r="C7"/>
  <c r="L19" i="3"/>
  <c r="C19"/>
  <c r="L18"/>
  <c r="L17" s="1"/>
  <c r="L20" s="1"/>
  <c r="K18"/>
  <c r="K17" s="1"/>
  <c r="K20" s="1"/>
  <c r="I18"/>
  <c r="I17" s="1"/>
  <c r="I20" s="1"/>
  <c r="G18"/>
  <c r="G17" s="1"/>
  <c r="G20" s="1"/>
  <c r="E18"/>
  <c r="E17" s="1"/>
  <c r="E20" s="1"/>
  <c r="D18"/>
  <c r="D17" s="1"/>
  <c r="D20" s="1"/>
  <c r="C18"/>
  <c r="C8"/>
  <c r="C6" s="1"/>
  <c r="C9" s="1"/>
  <c r="C7"/>
  <c r="J19" i="2"/>
  <c r="C19"/>
  <c r="J18"/>
  <c r="J17" s="1"/>
  <c r="H18"/>
  <c r="H17" s="1"/>
  <c r="G18"/>
  <c r="G17" s="1"/>
  <c r="G20" s="1"/>
  <c r="F18"/>
  <c r="E18"/>
  <c r="E17" s="1"/>
  <c r="D18"/>
  <c r="D17" s="1"/>
  <c r="C18"/>
  <c r="F17"/>
  <c r="J8"/>
  <c r="C8"/>
  <c r="J7"/>
  <c r="I7"/>
  <c r="G7"/>
  <c r="G6" s="1"/>
  <c r="F7"/>
  <c r="F6" s="1"/>
  <c r="E7"/>
  <c r="E6" s="1"/>
  <c r="C7"/>
  <c r="C6" s="1"/>
  <c r="I6"/>
  <c r="J19" i="1"/>
  <c r="C19"/>
  <c r="J18"/>
  <c r="H18"/>
  <c r="H17" s="1"/>
  <c r="H20" s="1"/>
  <c r="G18"/>
  <c r="G17" s="1"/>
  <c r="G20" s="1"/>
  <c r="F18"/>
  <c r="F17" s="1"/>
  <c r="F20" s="1"/>
  <c r="E18"/>
  <c r="E17" s="1"/>
  <c r="E20" s="1"/>
  <c r="D18"/>
  <c r="D17" s="1"/>
  <c r="D20" s="1"/>
  <c r="C18"/>
  <c r="J8"/>
  <c r="C8"/>
  <c r="J7"/>
  <c r="J6" s="1"/>
  <c r="J9" s="1"/>
  <c r="I7"/>
  <c r="I6" s="1"/>
  <c r="I9" s="1"/>
  <c r="G7"/>
  <c r="F7"/>
  <c r="F6" s="1"/>
  <c r="F9" s="1"/>
  <c r="E7"/>
  <c r="E6" s="1"/>
  <c r="E9" s="1"/>
  <c r="C7"/>
  <c r="C6" s="1"/>
  <c r="C9" s="1"/>
  <c r="G6"/>
  <c r="G9" s="1"/>
  <c r="C19" i="5"/>
  <c r="G16"/>
  <c r="G19" s="1"/>
  <c r="F16"/>
  <c r="F19" s="1"/>
  <c r="H12"/>
  <c r="H15" s="1"/>
  <c r="G8"/>
  <c r="G11" s="1"/>
  <c r="F8"/>
  <c r="F11" s="1"/>
  <c r="E8"/>
  <c r="E11" s="1"/>
  <c r="C17" i="1" l="1"/>
  <c r="C20" s="1"/>
  <c r="J6" i="2"/>
  <c r="C17"/>
  <c r="C17" i="3"/>
  <c r="C20" s="1"/>
  <c r="J17" i="1"/>
  <c r="J20" s="1"/>
  <c r="C6" i="4"/>
  <c r="C9" s="1"/>
  <c r="C17"/>
  <c r="C20" s="1"/>
  <c r="L5" i="2"/>
  <c r="E9" s="1"/>
  <c r="G9" l="1"/>
  <c r="F9"/>
  <c r="J9"/>
  <c r="E20"/>
  <c r="I9"/>
  <c r="C9"/>
  <c r="F20"/>
  <c r="D20"/>
  <c r="H20"/>
  <c r="C20"/>
  <c r="J20"/>
</calcChain>
</file>

<file path=xl/sharedStrings.xml><?xml version="1.0" encoding="utf-8"?>
<sst xmlns="http://schemas.openxmlformats.org/spreadsheetml/2006/main" count="131" uniqueCount="37">
  <si>
    <t>Отметка +0,000</t>
  </si>
  <si>
    <t>помещение</t>
  </si>
  <si>
    <t>пл. общ, м2</t>
  </si>
  <si>
    <t>пл. полезная, м2</t>
  </si>
  <si>
    <t>балкон</t>
  </si>
  <si>
    <t>цена</t>
  </si>
  <si>
    <t>статус</t>
  </si>
  <si>
    <t>цена в $ за кв.м.</t>
  </si>
  <si>
    <t>Отметка +3,300</t>
  </si>
  <si>
    <t>Продано</t>
  </si>
  <si>
    <t>Отметка +6,600</t>
  </si>
  <si>
    <t>помещение/    паркинг</t>
  </si>
  <si>
    <t>1п</t>
  </si>
  <si>
    <t>2п</t>
  </si>
  <si>
    <t>3п</t>
  </si>
  <si>
    <t>4п</t>
  </si>
  <si>
    <t>5п</t>
  </si>
  <si>
    <t>6п</t>
  </si>
  <si>
    <t>7п</t>
  </si>
  <si>
    <t>Отметка +9,900</t>
  </si>
  <si>
    <t>8п</t>
  </si>
  <si>
    <t>Отметка -3,600</t>
  </si>
  <si>
    <t>десткая зона</t>
  </si>
  <si>
    <t xml:space="preserve">офис </t>
  </si>
  <si>
    <t>офис</t>
  </si>
  <si>
    <t>кафе</t>
  </si>
  <si>
    <t>офис1</t>
  </si>
  <si>
    <t>магазин 1</t>
  </si>
  <si>
    <t>магазин 2</t>
  </si>
  <si>
    <t>магазин 3</t>
  </si>
  <si>
    <t>склад белья</t>
  </si>
  <si>
    <t>конферент зал</t>
  </si>
  <si>
    <t>продано</t>
  </si>
  <si>
    <t>Отметка +18,300</t>
  </si>
  <si>
    <t>МОРЕ</t>
  </si>
  <si>
    <t>ВНУТРЕННИЙ ДВОР</t>
  </si>
  <si>
    <t>ПАРК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</si>
</sst>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charset val="204"/>
    </font>
    <font>
      <b/>
      <sz val="13"/>
      <color rgb="FF000000"/>
      <name val="Garamond"/>
      <family val="1"/>
      <charset val="204"/>
    </font>
    <font>
      <sz val="13"/>
      <color rgb="FF000000"/>
      <name val="Garamond"/>
      <family val="1"/>
      <charset val="204"/>
    </font>
    <font>
      <b/>
      <sz val="13"/>
      <name val="Garamond"/>
      <family val="1"/>
      <charset val="204"/>
    </font>
    <font>
      <sz val="13"/>
      <name val="Garamond"/>
      <family val="1"/>
      <charset val="204"/>
    </font>
    <font>
      <sz val="11"/>
      <color theme="0"/>
      <name val="Calibri"/>
      <family val="2"/>
      <charset val="204"/>
    </font>
    <font>
      <b/>
      <sz val="13"/>
      <color theme="1"/>
      <name val="Garamond"/>
      <family val="1"/>
      <charset val="204"/>
    </font>
    <font>
      <sz val="13"/>
      <color theme="1"/>
      <name val="Garamond"/>
      <family val="1"/>
      <charset val="204"/>
    </font>
    <font>
      <sz val="11"/>
      <color theme="9" tint="-0.499984740745262"/>
      <name val="Calibri"/>
      <family val="2"/>
      <charset val="204"/>
    </font>
    <font>
      <sz val="11"/>
      <color theme="9" tint="-0.249977111117893"/>
      <name val="Calibri"/>
      <family val="2"/>
      <charset val="204"/>
    </font>
    <font>
      <sz val="26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rgb="FFE2F0D9"/>
      </patternFill>
    </fill>
    <fill>
      <patternFill patternType="solid">
        <fgColor theme="4" tint="-0.499984740745262"/>
        <bgColor rgb="FFC5E0B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3" fillId="0" borderId="1" xfId="0" applyFont="1" applyBorder="1"/>
    <xf numFmtId="0" fontId="4" fillId="0" borderId="4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6" xfId="0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4" fillId="0" borderId="8" xfId="0" applyFont="1" applyBorder="1"/>
    <xf numFmtId="4" fontId="4" fillId="0" borderId="8" xfId="0" applyNumberFormat="1" applyFont="1" applyBorder="1"/>
    <xf numFmtId="4" fontId="4" fillId="0" borderId="10" xfId="0" applyNumberFormat="1" applyFont="1" applyBorder="1"/>
    <xf numFmtId="0" fontId="3" fillId="0" borderId="14" xfId="0" applyFont="1" applyBorder="1"/>
    <xf numFmtId="0" fontId="4" fillId="0" borderId="16" xfId="0" applyFont="1" applyBorder="1"/>
    <xf numFmtId="0" fontId="2" fillId="0" borderId="17" xfId="0" applyFont="1" applyBorder="1"/>
    <xf numFmtId="0" fontId="4" fillId="0" borderId="18" xfId="0" applyFont="1" applyBorder="1"/>
    <xf numFmtId="4" fontId="2" fillId="0" borderId="19" xfId="0" applyNumberFormat="1" applyFont="1" applyBorder="1"/>
    <xf numFmtId="0" fontId="4" fillId="0" borderId="20" xfId="0" applyFont="1" applyBorder="1"/>
    <xf numFmtId="4" fontId="4" fillId="0" borderId="21" xfId="0" applyNumberFormat="1" applyFont="1" applyBorder="1"/>
    <xf numFmtId="0" fontId="3" fillId="0" borderId="14" xfId="0" applyFont="1" applyBorder="1" applyAlignment="1">
      <alignment wrapText="1"/>
    </xf>
    <xf numFmtId="3" fontId="2" fillId="0" borderId="6" xfId="0" applyNumberFormat="1" applyFont="1" applyBorder="1"/>
    <xf numFmtId="3" fontId="2" fillId="0" borderId="7" xfId="0" applyNumberFormat="1" applyFont="1" applyBorder="1"/>
    <xf numFmtId="3" fontId="4" fillId="0" borderId="8" xfId="0" applyNumberFormat="1" applyFont="1" applyBorder="1"/>
    <xf numFmtId="3" fontId="4" fillId="0" borderId="10" xfId="0" applyNumberFormat="1" applyFont="1" applyBorder="1"/>
    <xf numFmtId="4" fontId="3" fillId="0" borderId="2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5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2" fillId="0" borderId="4" xfId="0" applyFont="1" applyFill="1" applyBorder="1"/>
    <xf numFmtId="3" fontId="2" fillId="0" borderId="6" xfId="0" applyNumberFormat="1" applyFont="1" applyFill="1" applyBorder="1"/>
    <xf numFmtId="3" fontId="4" fillId="0" borderId="8" xfId="0" applyNumberFormat="1" applyFont="1" applyFill="1" applyBorder="1"/>
    <xf numFmtId="3" fontId="2" fillId="0" borderId="4" xfId="0" applyNumberFormat="1" applyFont="1" applyFill="1" applyBorder="1"/>
    <xf numFmtId="3" fontId="2" fillId="0" borderId="4" xfId="0" applyNumberFormat="1" applyFont="1" applyBorder="1"/>
    <xf numFmtId="0" fontId="0" fillId="3" borderId="22" xfId="0" applyFill="1" applyBorder="1"/>
    <xf numFmtId="0" fontId="0" fillId="3" borderId="12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4" borderId="0" xfId="0" applyFill="1"/>
    <xf numFmtId="0" fontId="1" fillId="4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4" borderId="0" xfId="0" applyFont="1" applyFill="1" applyBorder="1"/>
    <xf numFmtId="0" fontId="2" fillId="4" borderId="0" xfId="0" applyFont="1" applyFill="1" applyBorder="1"/>
    <xf numFmtId="0" fontId="2" fillId="0" borderId="4" xfId="0" applyFont="1" applyFill="1" applyBorder="1" applyAlignment="1">
      <alignment horizontal="right"/>
    </xf>
    <xf numFmtId="4" fontId="4" fillId="3" borderId="0" xfId="0" applyNumberFormat="1" applyFont="1" applyFill="1" applyBorder="1"/>
    <xf numFmtId="3" fontId="2" fillId="4" borderId="0" xfId="0" applyNumberFormat="1" applyFont="1" applyFill="1" applyBorder="1"/>
    <xf numFmtId="3" fontId="2" fillId="0" borderId="27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1" fillId="0" borderId="5" xfId="0" applyFont="1" applyFill="1" applyBorder="1"/>
    <xf numFmtId="3" fontId="4" fillId="4" borderId="0" xfId="0" applyNumberFormat="1" applyFont="1" applyFill="1" applyBorder="1"/>
    <xf numFmtId="0" fontId="2" fillId="0" borderId="5" xfId="0" applyFont="1" applyFill="1" applyBorder="1" applyAlignment="1">
      <alignment horizontal="right"/>
    </xf>
    <xf numFmtId="0" fontId="4" fillId="4" borderId="32" xfId="0" applyFont="1" applyFill="1" applyBorder="1"/>
    <xf numFmtId="3" fontId="4" fillId="4" borderId="33" xfId="0" applyNumberFormat="1" applyFont="1" applyFill="1" applyBorder="1"/>
    <xf numFmtId="0" fontId="7" fillId="4" borderId="33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0" fillId="4" borderId="34" xfId="0" applyFill="1" applyBorder="1"/>
    <xf numFmtId="0" fontId="3" fillId="0" borderId="35" xfId="0" applyFont="1" applyBorder="1"/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6" xfId="0" applyFont="1" applyFill="1" applyBorder="1"/>
    <xf numFmtId="0" fontId="2" fillId="0" borderId="16" xfId="0" applyFont="1" applyFill="1" applyBorder="1" applyAlignment="1">
      <alignment horizontal="right"/>
    </xf>
    <xf numFmtId="0" fontId="0" fillId="5" borderId="0" xfId="0" applyFill="1"/>
    <xf numFmtId="0" fontId="1" fillId="3" borderId="2" xfId="0" applyFont="1" applyFill="1" applyBorder="1" applyAlignment="1">
      <alignment horizontal="center"/>
    </xf>
    <xf numFmtId="4" fontId="2" fillId="0" borderId="4" xfId="0" applyNumberFormat="1" applyFont="1" applyBorder="1"/>
    <xf numFmtId="4" fontId="2" fillId="3" borderId="0" xfId="0" applyNumberFormat="1" applyFont="1" applyFill="1" applyBorder="1"/>
    <xf numFmtId="4" fontId="2" fillId="0" borderId="5" xfId="0" applyNumberFormat="1" applyFont="1" applyBorder="1"/>
    <xf numFmtId="4" fontId="2" fillId="6" borderId="6" xfId="0" applyNumberFormat="1" applyFont="1" applyFill="1" applyBorder="1"/>
    <xf numFmtId="4" fontId="4" fillId="3" borderId="9" xfId="0" applyNumberFormat="1" applyFont="1" applyFill="1" applyBorder="1"/>
    <xf numFmtId="0" fontId="4" fillId="3" borderId="11" xfId="0" applyFont="1" applyFill="1" applyBorder="1"/>
    <xf numFmtId="4" fontId="4" fillId="3" borderId="12" xfId="0" applyNumberFormat="1" applyFont="1" applyFill="1" applyBorder="1"/>
    <xf numFmtId="0" fontId="1" fillId="0" borderId="17" xfId="0" applyFont="1" applyFill="1" applyBorder="1"/>
    <xf numFmtId="4" fontId="2" fillId="0" borderId="17" xfId="0" applyNumberFormat="1" applyFont="1" applyBorder="1"/>
    <xf numFmtId="0" fontId="2" fillId="2" borderId="4" xfId="0" applyFont="1" applyFill="1" applyBorder="1"/>
    <xf numFmtId="4" fontId="2" fillId="2" borderId="4" xfId="0" applyNumberFormat="1" applyFont="1" applyFill="1" applyBorder="1"/>
    <xf numFmtId="4" fontId="2" fillId="2" borderId="6" xfId="0" applyNumberFormat="1" applyFont="1" applyFill="1" applyBorder="1"/>
    <xf numFmtId="4" fontId="4" fillId="2" borderId="8" xfId="0" applyNumberFormat="1" applyFont="1" applyFill="1" applyBorder="1"/>
    <xf numFmtId="0" fontId="1" fillId="2" borderId="4" xfId="0" applyFont="1" applyFill="1" applyBorder="1"/>
    <xf numFmtId="0" fontId="0" fillId="7" borderId="0" xfId="0" applyFill="1"/>
    <xf numFmtId="0" fontId="0" fillId="3" borderId="2" xfId="0" applyFill="1" applyBorder="1"/>
    <xf numFmtId="3" fontId="2" fillId="3" borderId="0" xfId="0" applyNumberFormat="1" applyFont="1" applyFill="1" applyBorder="1"/>
    <xf numFmtId="3" fontId="4" fillId="3" borderId="23" xfId="0" applyNumberFormat="1" applyFont="1" applyFill="1" applyBorder="1"/>
    <xf numFmtId="1" fontId="2" fillId="0" borderId="4" xfId="0" applyNumberFormat="1" applyFont="1" applyBorder="1"/>
    <xf numFmtId="0" fontId="1" fillId="0" borderId="17" xfId="0" applyFont="1" applyFill="1" applyBorder="1" applyAlignment="1">
      <alignment horizontal="right"/>
    </xf>
    <xf numFmtId="3" fontId="2" fillId="0" borderId="5" xfId="0" applyNumberFormat="1" applyFont="1" applyFill="1" applyBorder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4" fillId="4" borderId="11" xfId="0" applyFont="1" applyFill="1" applyBorder="1"/>
    <xf numFmtId="3" fontId="4" fillId="4" borderId="13" xfId="0" applyNumberFormat="1" applyFont="1" applyFill="1" applyBorder="1"/>
    <xf numFmtId="0" fontId="7" fillId="4" borderId="32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2" fillId="0" borderId="17" xfId="0" applyFont="1" applyFill="1" applyBorder="1"/>
    <xf numFmtId="3" fontId="2" fillId="0" borderId="17" xfId="0" applyNumberFormat="1" applyFont="1" applyFill="1" applyBorder="1"/>
    <xf numFmtId="3" fontId="2" fillId="0" borderId="19" xfId="0" applyNumberFormat="1" applyFont="1" applyFill="1" applyBorder="1"/>
    <xf numFmtId="3" fontId="4" fillId="0" borderId="21" xfId="0" applyNumberFormat="1" applyFont="1" applyFill="1" applyBorder="1"/>
    <xf numFmtId="0" fontId="5" fillId="0" borderId="0" xfId="0" applyFont="1" applyFill="1"/>
    <xf numFmtId="0" fontId="1" fillId="6" borderId="15" xfId="0" applyFont="1" applyFill="1" applyBorder="1" applyAlignment="1">
      <alignment horizontal="center"/>
    </xf>
    <xf numFmtId="0" fontId="1" fillId="6" borderId="4" xfId="0" applyFont="1" applyFill="1" applyBorder="1"/>
    <xf numFmtId="0" fontId="2" fillId="6" borderId="17" xfId="0" applyFont="1" applyFill="1" applyBorder="1"/>
    <xf numFmtId="3" fontId="2" fillId="6" borderId="17" xfId="0" applyNumberFormat="1" applyFont="1" applyFill="1" applyBorder="1"/>
    <xf numFmtId="3" fontId="2" fillId="6" borderId="19" xfId="0" applyNumberFormat="1" applyFont="1" applyFill="1" applyBorder="1"/>
    <xf numFmtId="3" fontId="4" fillId="6" borderId="21" xfId="0" applyNumberFormat="1" applyFont="1" applyFill="1" applyBorder="1"/>
    <xf numFmtId="0" fontId="1" fillId="6" borderId="1" xfId="0" applyFont="1" applyFill="1" applyBorder="1" applyAlignment="1">
      <alignment horizontal="center"/>
    </xf>
    <xf numFmtId="0" fontId="2" fillId="6" borderId="4" xfId="0" applyFont="1" applyFill="1" applyBorder="1"/>
    <xf numFmtId="3" fontId="2" fillId="6" borderId="4" xfId="0" applyNumberFormat="1" applyFont="1" applyFill="1" applyBorder="1"/>
    <xf numFmtId="3" fontId="2" fillId="6" borderId="6" xfId="0" applyNumberFormat="1" applyFont="1" applyFill="1" applyBorder="1"/>
    <xf numFmtId="3" fontId="4" fillId="6" borderId="8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/>
    <xf numFmtId="0" fontId="2" fillId="2" borderId="5" xfId="0" applyFont="1" applyFill="1" applyBorder="1"/>
    <xf numFmtId="3" fontId="2" fillId="2" borderId="4" xfId="0" applyNumberFormat="1" applyFont="1" applyFill="1" applyBorder="1"/>
    <xf numFmtId="3" fontId="2" fillId="2" borderId="7" xfId="0" applyNumberFormat="1" applyFont="1" applyFill="1" applyBorder="1"/>
    <xf numFmtId="3" fontId="4" fillId="2" borderId="10" xfId="0" applyNumberFormat="1" applyFont="1" applyFill="1" applyBorder="1"/>
    <xf numFmtId="0" fontId="9" fillId="9" borderId="0" xfId="0" applyFont="1" applyFill="1"/>
    <xf numFmtId="0" fontId="0" fillId="13" borderId="0" xfId="0" applyFill="1"/>
    <xf numFmtId="0" fontId="0" fillId="14" borderId="0" xfId="0" applyFill="1"/>
    <xf numFmtId="0" fontId="8" fillId="11" borderId="0" xfId="0" applyFont="1" applyFill="1"/>
    <xf numFmtId="3" fontId="2" fillId="2" borderId="6" xfId="0" applyNumberFormat="1" applyFont="1" applyFill="1" applyBorder="1"/>
    <xf numFmtId="3" fontId="4" fillId="2" borderId="8" xfId="0" applyNumberFormat="1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6" borderId="17" xfId="0" applyFont="1" applyFill="1" applyBorder="1"/>
    <xf numFmtId="4" fontId="2" fillId="6" borderId="17" xfId="0" applyNumberFormat="1" applyFont="1" applyFill="1" applyBorder="1"/>
    <xf numFmtId="4" fontId="2" fillId="6" borderId="19" xfId="0" applyNumberFormat="1" applyFont="1" applyFill="1" applyBorder="1"/>
    <xf numFmtId="4" fontId="4" fillId="6" borderId="21" xfId="0" applyNumberFormat="1" applyFont="1" applyFill="1" applyBorder="1"/>
    <xf numFmtId="0" fontId="1" fillId="2" borderId="36" xfId="0" applyFont="1" applyFill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6" borderId="25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right"/>
    </xf>
    <xf numFmtId="0" fontId="1" fillId="6" borderId="28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2" fillId="6" borderId="27" xfId="0" applyFont="1" applyFill="1" applyBorder="1" applyAlignment="1">
      <alignment horizontal="right"/>
    </xf>
    <xf numFmtId="0" fontId="2" fillId="6" borderId="28" xfId="0" applyFont="1" applyFill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3" fontId="4" fillId="6" borderId="29" xfId="0" applyNumberFormat="1" applyFont="1" applyFill="1" applyBorder="1" applyAlignment="1">
      <alignment horizontal="right"/>
    </xf>
    <xf numFmtId="3" fontId="4" fillId="6" borderId="30" xfId="0" applyNumberFormat="1" applyFont="1" applyFill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2" fillId="6" borderId="27" xfId="0" applyNumberFormat="1" applyFont="1" applyFill="1" applyBorder="1" applyAlignment="1">
      <alignment horizontal="right"/>
    </xf>
    <xf numFmtId="3" fontId="2" fillId="6" borderId="28" xfId="0" applyNumberFormat="1" applyFont="1" applyFill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0" fontId="0" fillId="6" borderId="27" xfId="0" applyFill="1" applyBorder="1" applyAlignment="1">
      <alignment horizontal="right"/>
    </xf>
    <xf numFmtId="0" fontId="0" fillId="6" borderId="28" xfId="0" applyFill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1" xfId="0" applyBorder="1" applyAlignment="1">
      <alignment horizontal="right"/>
    </xf>
    <xf numFmtId="3" fontId="2" fillId="12" borderId="16" xfId="0" applyNumberFormat="1" applyFont="1" applyFill="1" applyBorder="1" applyAlignment="1">
      <alignment horizontal="right"/>
    </xf>
    <xf numFmtId="3" fontId="2" fillId="12" borderId="5" xfId="0" applyNumberFormat="1" applyFont="1" applyFill="1" applyBorder="1" applyAlignment="1">
      <alignment horizontal="right"/>
    </xf>
    <xf numFmtId="3" fontId="4" fillId="12" borderId="20" xfId="0" applyNumberFormat="1" applyFont="1" applyFill="1" applyBorder="1" applyAlignment="1">
      <alignment horizontal="right"/>
    </xf>
    <xf numFmtId="3" fontId="4" fillId="12" borderId="10" xfId="0" applyNumberFormat="1" applyFont="1" applyFill="1" applyBorder="1" applyAlignment="1">
      <alignment horizontal="right"/>
    </xf>
    <xf numFmtId="0" fontId="1" fillId="12" borderId="14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right"/>
    </xf>
    <xf numFmtId="0" fontId="1" fillId="12" borderId="5" xfId="0" applyFont="1" applyFill="1" applyBorder="1" applyAlignment="1">
      <alignment horizontal="right"/>
    </xf>
    <xf numFmtId="0" fontId="2" fillId="12" borderId="16" xfId="0" applyFont="1" applyFill="1" applyBorder="1" applyAlignment="1">
      <alignment horizontal="right"/>
    </xf>
    <xf numFmtId="0" fontId="2" fillId="12" borderId="5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1" fillId="2" borderId="31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2" fillId="2" borderId="28" xfId="0" applyFont="1" applyFill="1" applyBorder="1" applyAlignment="1">
      <alignment horizontal="right"/>
    </xf>
    <xf numFmtId="0" fontId="2" fillId="2" borderId="31" xfId="0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4" fillId="2" borderId="40" xfId="0" applyNumberFormat="1" applyFont="1" applyFill="1" applyBorder="1" applyAlignment="1">
      <alignment horizontal="right"/>
    </xf>
    <xf numFmtId="3" fontId="2" fillId="2" borderId="27" xfId="0" applyNumberFormat="1" applyFont="1" applyFill="1" applyBorder="1" applyAlignment="1">
      <alignment horizontal="right"/>
    </xf>
    <xf numFmtId="3" fontId="2" fillId="2" borderId="28" xfId="0" applyNumberFormat="1" applyFont="1" applyFill="1" applyBorder="1" applyAlignment="1">
      <alignment horizontal="right"/>
    </xf>
    <xf numFmtId="3" fontId="2" fillId="2" borderId="31" xfId="0" applyNumberFormat="1" applyFont="1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31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AFABAB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E0B4"/>
      <rgbColor rgb="FFE2F0D9"/>
      <rgbColor rgb="FFFFFF99"/>
      <rgbColor rgb="FF9DC3E6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A9D18E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windowProtection="1" zoomScale="80" zoomScaleNormal="80" workbookViewId="0">
      <selection activeCell="L14" sqref="L14"/>
    </sheetView>
  </sheetViews>
  <sheetFormatPr defaultRowHeight="15"/>
  <cols>
    <col min="1" max="1" width="8.7109375" customWidth="1"/>
    <col min="2" max="2" width="15.7109375" customWidth="1"/>
    <col min="3" max="3" width="16" customWidth="1"/>
    <col min="4" max="4" width="17.85546875" customWidth="1"/>
    <col min="5" max="5" width="15.85546875" customWidth="1"/>
    <col min="6" max="6" width="18" customWidth="1"/>
    <col min="7" max="7" width="17.85546875" customWidth="1"/>
    <col min="8" max="8" width="18.5703125" customWidth="1"/>
    <col min="9" max="1023" width="8.7109375" customWidth="1"/>
  </cols>
  <sheetData>
    <row r="2" spans="2:9" ht="28.5">
      <c r="D2" s="139" t="s">
        <v>35</v>
      </c>
      <c r="E2" s="139"/>
    </row>
    <row r="4" spans="2:9">
      <c r="B4" s="103"/>
      <c r="C4" s="103"/>
      <c r="D4" s="103"/>
      <c r="E4" s="103"/>
      <c r="F4" s="103"/>
      <c r="G4" s="103"/>
      <c r="H4" s="103"/>
    </row>
    <row r="5" spans="2:9" ht="16.5">
      <c r="B5" s="47" t="s">
        <v>21</v>
      </c>
      <c r="C5" s="48"/>
      <c r="D5" s="48"/>
      <c r="E5" s="48"/>
      <c r="F5" s="48"/>
    </row>
    <row r="6" spans="2:9" ht="15.75" thickBot="1">
      <c r="B6" s="38"/>
      <c r="C6" s="38"/>
      <c r="D6" s="38"/>
      <c r="E6" s="38"/>
      <c r="F6" s="38"/>
      <c r="G6" s="49"/>
      <c r="I6" s="28">
        <v>75</v>
      </c>
    </row>
    <row r="7" spans="2:9" ht="16.5">
      <c r="B7" s="1" t="s">
        <v>1</v>
      </c>
      <c r="C7" s="50"/>
      <c r="D7" s="38"/>
      <c r="E7" s="51">
        <v>30</v>
      </c>
      <c r="F7" s="51">
        <v>43</v>
      </c>
      <c r="G7" s="29">
        <v>44</v>
      </c>
    </row>
    <row r="8" spans="2:9" ht="16.5">
      <c r="B8" s="2" t="s">
        <v>2</v>
      </c>
      <c r="C8" s="52"/>
      <c r="D8" s="38"/>
      <c r="E8" s="30">
        <f>223.84+6.01+6.01</f>
        <v>235.85999999999999</v>
      </c>
      <c r="F8" s="30">
        <f>53.4</f>
        <v>53.4</v>
      </c>
      <c r="G8" s="30">
        <f>59.98+2.56</f>
        <v>62.54</v>
      </c>
    </row>
    <row r="9" spans="2:9" ht="16.5">
      <c r="B9" s="2" t="s">
        <v>3</v>
      </c>
      <c r="C9" s="53"/>
      <c r="D9" s="38"/>
      <c r="E9" s="43"/>
      <c r="F9" s="43"/>
      <c r="G9" s="54"/>
    </row>
    <row r="10" spans="2:9" ht="17.25" thickBot="1">
      <c r="B10" s="2" t="s">
        <v>4</v>
      </c>
      <c r="C10" s="53"/>
      <c r="D10" s="55"/>
      <c r="E10" s="43"/>
      <c r="F10" s="43"/>
      <c r="G10" s="54"/>
    </row>
    <row r="11" spans="2:9" ht="16.5">
      <c r="B11" s="2" t="s">
        <v>5</v>
      </c>
      <c r="C11" s="56"/>
      <c r="D11" s="55"/>
      <c r="E11" s="57">
        <f>E8*E13*I6</f>
        <v>61913250</v>
      </c>
      <c r="F11" s="57">
        <f>F8*F13*I6</f>
        <v>14017500</v>
      </c>
      <c r="G11" s="58">
        <f>G8*G13*I6</f>
        <v>16416750</v>
      </c>
      <c r="H11" s="59">
        <v>37</v>
      </c>
    </row>
    <row r="12" spans="2:9" ht="16.5">
      <c r="B12" s="7" t="s">
        <v>6</v>
      </c>
      <c r="C12" s="56"/>
      <c r="D12" s="60"/>
      <c r="E12" s="61" t="s">
        <v>22</v>
      </c>
      <c r="F12" s="61" t="s">
        <v>23</v>
      </c>
      <c r="G12" s="62" t="s">
        <v>24</v>
      </c>
      <c r="H12" s="63">
        <f>70.94+4.4</f>
        <v>75.34</v>
      </c>
    </row>
    <row r="13" spans="2:9" ht="17.25" thickBot="1">
      <c r="B13" s="7" t="s">
        <v>7</v>
      </c>
      <c r="C13" s="64"/>
      <c r="D13" s="60"/>
      <c r="E13" s="33">
        <v>3500</v>
      </c>
      <c r="F13" s="33">
        <v>3500</v>
      </c>
      <c r="G13" s="33">
        <v>3500</v>
      </c>
      <c r="H13" s="65"/>
    </row>
    <row r="14" spans="2:9" ht="17.25" thickBot="1">
      <c r="B14" s="66"/>
      <c r="C14" s="67"/>
      <c r="D14" s="68"/>
      <c r="E14" s="69"/>
      <c r="F14" s="69"/>
      <c r="G14" s="70"/>
      <c r="H14" s="65"/>
    </row>
    <row r="15" spans="2:9" ht="16.5">
      <c r="B15" s="71" t="s">
        <v>1</v>
      </c>
      <c r="C15" s="72" t="s">
        <v>25</v>
      </c>
      <c r="D15" s="145">
        <v>7</v>
      </c>
      <c r="E15" s="49"/>
      <c r="F15" s="73">
        <v>33</v>
      </c>
      <c r="G15" s="74">
        <v>35</v>
      </c>
      <c r="H15" s="58">
        <f>H12*H17*K2</f>
        <v>0</v>
      </c>
    </row>
    <row r="16" spans="2:9" ht="16.5">
      <c r="B16" s="14" t="s">
        <v>2</v>
      </c>
      <c r="C16" s="30">
        <v>270.98</v>
      </c>
      <c r="D16" s="92">
        <v>46.81</v>
      </c>
      <c r="E16" s="49"/>
      <c r="F16" s="30">
        <f>91.72+4.32</f>
        <v>96.039999999999992</v>
      </c>
      <c r="G16" s="75">
        <f>121.94+4.32</f>
        <v>126.25999999999999</v>
      </c>
      <c r="H16" s="62" t="s">
        <v>26</v>
      </c>
    </row>
    <row r="17" spans="2:8" ht="17.25" thickBot="1">
      <c r="B17" s="14" t="s">
        <v>3</v>
      </c>
      <c r="C17" s="31"/>
      <c r="D17" s="88"/>
      <c r="E17" s="49"/>
      <c r="F17" s="43"/>
      <c r="G17" s="76"/>
      <c r="H17" s="33">
        <v>3500</v>
      </c>
    </row>
    <row r="18" spans="2:8" ht="16.5">
      <c r="B18" s="14" t="s">
        <v>4</v>
      </c>
      <c r="C18" s="31"/>
      <c r="D18" s="88"/>
      <c r="E18" s="49"/>
      <c r="F18" s="43"/>
      <c r="G18" s="43"/>
    </row>
    <row r="19" spans="2:8" ht="16.5">
      <c r="B19" s="14" t="s">
        <v>5</v>
      </c>
      <c r="C19" s="34">
        <f>C16*C21*J6</f>
        <v>0</v>
      </c>
      <c r="D19" s="129">
        <f>D16*D21*I6</f>
        <v>0</v>
      </c>
      <c r="E19" s="49"/>
      <c r="F19" s="34">
        <f>F16*F21*I6</f>
        <v>54022499.999999993</v>
      </c>
      <c r="G19" s="57">
        <f>G16*G21*I6</f>
        <v>71021249.999999985</v>
      </c>
    </row>
    <row r="20" spans="2:8" ht="16.5">
      <c r="B20" s="16" t="s">
        <v>6</v>
      </c>
      <c r="C20" s="32"/>
      <c r="D20" s="136" t="s">
        <v>27</v>
      </c>
      <c r="E20" s="49"/>
      <c r="F20" s="61" t="s">
        <v>28</v>
      </c>
      <c r="G20" s="61" t="s">
        <v>29</v>
      </c>
    </row>
    <row r="21" spans="2:8" ht="17.25" thickBot="1">
      <c r="B21" s="18" t="s">
        <v>7</v>
      </c>
      <c r="C21" s="33">
        <v>5500</v>
      </c>
      <c r="D21" s="137"/>
      <c r="E21" s="49"/>
      <c r="F21" s="33">
        <v>7500</v>
      </c>
      <c r="G21" s="33">
        <v>7500</v>
      </c>
    </row>
    <row r="23" spans="2:8">
      <c r="B23" s="77"/>
      <c r="C23" s="77"/>
      <c r="D23" s="77"/>
      <c r="E23" s="77"/>
      <c r="F23" s="77"/>
      <c r="G23" s="77"/>
      <c r="H23" s="77"/>
    </row>
    <row r="25" spans="2:8" ht="33.75">
      <c r="E25" s="138" t="s">
        <v>34</v>
      </c>
    </row>
  </sheetData>
  <pageMargins left="0.70866141732283472" right="0.70866141732283472" top="0.74803149606299213" bottom="0.74803149606299213" header="0.51181102362204722" footer="0.51181102362204722"/>
  <pageSetup paperSize="9" scale="81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windowProtection="1" tabSelected="1" zoomScale="80" zoomScaleNormal="80" workbookViewId="0">
      <selection activeCell="C29" sqref="C29"/>
    </sheetView>
  </sheetViews>
  <sheetFormatPr defaultRowHeight="15"/>
  <cols>
    <col min="1" max="1" width="8.7109375" customWidth="1"/>
    <col min="2" max="2" width="17.28515625" customWidth="1"/>
    <col min="3" max="3" width="17.140625" customWidth="1"/>
    <col min="4" max="4" width="15.7109375" customWidth="1"/>
    <col min="5" max="5" width="16" customWidth="1"/>
    <col min="6" max="6" width="17.85546875" customWidth="1"/>
    <col min="7" max="7" width="15.85546875" customWidth="1"/>
    <col min="8" max="8" width="4.28515625" customWidth="1"/>
    <col min="9" max="9" width="15.5703125" customWidth="1"/>
    <col min="10" max="10" width="16.140625" customWidth="1"/>
    <col min="11" max="1025" width="8.7109375" customWidth="1"/>
  </cols>
  <sheetData>
    <row r="2" spans="2:12" ht="26.25">
      <c r="E2" s="140" t="s">
        <v>35</v>
      </c>
    </row>
    <row r="3" spans="2:12">
      <c r="B3" s="103"/>
      <c r="C3" s="103"/>
      <c r="D3" s="103"/>
      <c r="E3" s="103"/>
      <c r="F3" s="103"/>
      <c r="G3" s="103"/>
      <c r="H3" s="103"/>
      <c r="I3" s="103"/>
      <c r="J3" s="103"/>
    </row>
    <row r="4" spans="2:12" ht="16.5">
      <c r="B4" s="47" t="s">
        <v>0</v>
      </c>
      <c r="C4" s="48"/>
      <c r="D4" s="48"/>
      <c r="E4" s="48"/>
      <c r="F4" s="48"/>
      <c r="G4" s="48"/>
      <c r="H4" s="48"/>
      <c r="I4" s="48"/>
      <c r="J4" s="48"/>
    </row>
    <row r="5" spans="2:12" ht="16.5">
      <c r="B5" s="1" t="s">
        <v>1</v>
      </c>
      <c r="C5" s="45">
        <v>1</v>
      </c>
      <c r="D5" s="78"/>
      <c r="E5" s="44">
        <v>2</v>
      </c>
      <c r="F5" s="44">
        <v>3</v>
      </c>
      <c r="G5" s="44">
        <v>4</v>
      </c>
      <c r="H5" s="78"/>
      <c r="I5" s="44">
        <v>23</v>
      </c>
      <c r="J5" s="46">
        <v>5</v>
      </c>
      <c r="L5" s="28">
        <v>80</v>
      </c>
    </row>
    <row r="6" spans="2:12" ht="16.5">
      <c r="B6" s="2" t="s">
        <v>2</v>
      </c>
      <c r="C6" s="92">
        <f>C7+C8</f>
        <v>94.92</v>
      </c>
      <c r="D6" s="39"/>
      <c r="E6" s="30">
        <f>E7+E8</f>
        <v>92.44</v>
      </c>
      <c r="F6" s="30">
        <f>F7+F8</f>
        <v>95.08</v>
      </c>
      <c r="G6" s="30">
        <f>G7+G8</f>
        <v>93.82</v>
      </c>
      <c r="H6" s="39"/>
      <c r="I6" s="30">
        <f>I7+I8</f>
        <v>64.81</v>
      </c>
      <c r="J6" s="63">
        <f>J7+J8</f>
        <v>144.61000000000001</v>
      </c>
    </row>
    <row r="7" spans="2:12" ht="16.5">
      <c r="B7" s="2" t="s">
        <v>3</v>
      </c>
      <c r="C7" s="88">
        <f>36.66+5.84+2.82+6.77</f>
        <v>52.09</v>
      </c>
      <c r="D7" s="40"/>
      <c r="E7" s="5">
        <f>45.18+5.6+4.69+5.33</f>
        <v>60.8</v>
      </c>
      <c r="F7" s="5">
        <f>45.94+5.6+4.85+5.75</f>
        <v>62.14</v>
      </c>
      <c r="G7" s="5">
        <f>45.32+5.21+4.85+5.5</f>
        <v>60.88</v>
      </c>
      <c r="H7" s="40"/>
      <c r="I7" s="5">
        <f>22.54+4.21+5.12</f>
        <v>31.87</v>
      </c>
      <c r="J7" s="6">
        <f>37.71+4.94+3.8+5.98</f>
        <v>52.429999999999993</v>
      </c>
    </row>
    <row r="8" spans="2:12" ht="16.5">
      <c r="B8" s="2" t="s">
        <v>4</v>
      </c>
      <c r="C8" s="88">
        <f>31.42+11.41</f>
        <v>42.83</v>
      </c>
      <c r="D8" s="40"/>
      <c r="E8" s="5">
        <v>31.64</v>
      </c>
      <c r="F8" s="5">
        <v>32.94</v>
      </c>
      <c r="G8" s="5">
        <v>32.94</v>
      </c>
      <c r="H8" s="40"/>
      <c r="I8" s="5">
        <v>32.94</v>
      </c>
      <c r="J8" s="6">
        <f>34.25+57.93</f>
        <v>92.18</v>
      </c>
    </row>
    <row r="9" spans="2:12" ht="16.5">
      <c r="B9" s="2" t="s">
        <v>5</v>
      </c>
      <c r="C9" s="89">
        <f>C6*C11*L5</f>
        <v>0</v>
      </c>
      <c r="D9" s="80"/>
      <c r="E9" s="79">
        <f>E6*E11*L5</f>
        <v>25883200</v>
      </c>
      <c r="F9" s="79">
        <f>F6*F11*L5</f>
        <v>26622400</v>
      </c>
      <c r="G9" s="79">
        <f>G6*G11*L5</f>
        <v>26269600</v>
      </c>
      <c r="H9" s="80"/>
      <c r="I9" s="79">
        <f>I6*I11*L5</f>
        <v>18146800</v>
      </c>
      <c r="J9" s="81">
        <f>J6*J11*L5</f>
        <v>40490800.000000007</v>
      </c>
    </row>
    <row r="10" spans="2:12" ht="16.5">
      <c r="B10" s="7" t="s">
        <v>6</v>
      </c>
      <c r="C10" s="90"/>
      <c r="D10" s="80"/>
      <c r="E10" s="8"/>
      <c r="F10" s="8"/>
      <c r="G10" s="8"/>
      <c r="H10" s="80"/>
      <c r="I10" s="82"/>
      <c r="J10" s="9"/>
    </row>
    <row r="11" spans="2:12" ht="16.5">
      <c r="B11" s="10" t="s">
        <v>7</v>
      </c>
      <c r="C11" s="91"/>
      <c r="D11" s="83"/>
      <c r="E11" s="11">
        <v>3500</v>
      </c>
      <c r="F11" s="11">
        <v>3500</v>
      </c>
      <c r="G11" s="11">
        <v>3500</v>
      </c>
      <c r="H11" s="83"/>
      <c r="I11" s="11">
        <v>3500</v>
      </c>
      <c r="J11" s="12">
        <v>3500</v>
      </c>
    </row>
    <row r="12" spans="2:12" ht="16.5">
      <c r="B12" s="84"/>
      <c r="C12" s="55"/>
      <c r="D12" s="55"/>
      <c r="E12" s="55"/>
      <c r="F12" s="55"/>
      <c r="G12" s="55"/>
      <c r="H12" s="55"/>
      <c r="I12" s="55"/>
      <c r="J12" s="85"/>
    </row>
    <row r="13" spans="2:12" ht="16.5">
      <c r="B13" s="84"/>
      <c r="C13" s="55"/>
      <c r="D13" s="55"/>
      <c r="E13" s="55"/>
      <c r="F13" s="55"/>
      <c r="G13" s="55"/>
      <c r="H13" s="55"/>
      <c r="I13" s="55"/>
      <c r="J13" s="85"/>
    </row>
    <row r="14" spans="2:12" ht="15" customHeight="1">
      <c r="B14" s="148"/>
      <c r="C14" s="149"/>
      <c r="D14" s="149"/>
      <c r="E14" s="149"/>
      <c r="F14" s="149"/>
      <c r="G14" s="149"/>
      <c r="H14" s="149"/>
      <c r="I14" s="149"/>
      <c r="J14" s="150"/>
    </row>
    <row r="15" spans="2:12" ht="15" customHeight="1">
      <c r="B15" s="148"/>
      <c r="C15" s="149"/>
      <c r="D15" s="149"/>
      <c r="E15" s="149"/>
      <c r="F15" s="149"/>
      <c r="G15" s="149"/>
      <c r="H15" s="149"/>
      <c r="I15" s="149"/>
      <c r="J15" s="150"/>
    </row>
    <row r="16" spans="2:12" ht="16.5">
      <c r="B16" s="13" t="s">
        <v>1</v>
      </c>
      <c r="C16" s="44">
        <v>6</v>
      </c>
      <c r="D16" s="41">
        <v>7</v>
      </c>
      <c r="E16" s="44">
        <v>8</v>
      </c>
      <c r="F16" s="41">
        <v>9</v>
      </c>
      <c r="G16" s="44">
        <v>10</v>
      </c>
      <c r="H16" s="151">
        <v>11</v>
      </c>
      <c r="I16" s="151"/>
      <c r="J16" s="44">
        <v>12</v>
      </c>
    </row>
    <row r="17" spans="2:10" ht="16.5">
      <c r="B17" s="14" t="s">
        <v>2</v>
      </c>
      <c r="C17" s="30">
        <f t="shared" ref="C17:H17" si="0">C18+C19</f>
        <v>90.460000000000008</v>
      </c>
      <c r="D17" s="86">
        <f t="shared" si="0"/>
        <v>72.930000000000007</v>
      </c>
      <c r="E17" s="30">
        <f t="shared" si="0"/>
        <v>75.44</v>
      </c>
      <c r="F17" s="86">
        <f t="shared" si="0"/>
        <v>73.69</v>
      </c>
      <c r="G17" s="30">
        <f t="shared" si="0"/>
        <v>76.789999999999992</v>
      </c>
      <c r="H17" s="152">
        <f t="shared" si="0"/>
        <v>72.989999999999995</v>
      </c>
      <c r="I17" s="152"/>
      <c r="J17" s="30">
        <f>J18+J19</f>
        <v>86.759999999999991</v>
      </c>
    </row>
    <row r="18" spans="2:10" ht="16.5">
      <c r="B18" s="14" t="s">
        <v>3</v>
      </c>
      <c r="C18" s="5">
        <f>45.23+5.39+4.33+5.06</f>
        <v>60.01</v>
      </c>
      <c r="D18" s="15">
        <f>47.11+5.43+4.5+4.64</f>
        <v>61.68</v>
      </c>
      <c r="E18" s="5">
        <f>48.42+5.43+4.35+5.06</f>
        <v>63.260000000000005</v>
      </c>
      <c r="F18" s="15">
        <f>48.42+5.43+4.51+5.06</f>
        <v>63.42</v>
      </c>
      <c r="G18" s="5">
        <f>48.42+5.19+4.51+5.06</f>
        <v>63.18</v>
      </c>
      <c r="H18" s="153">
        <f>48.44+5.19+4.51+4.64</f>
        <v>62.779999999999994</v>
      </c>
      <c r="I18" s="153"/>
      <c r="J18" s="5">
        <f>45.23+5.91+5.11+5</f>
        <v>61.25</v>
      </c>
    </row>
    <row r="19" spans="2:10" ht="16.5">
      <c r="B19" s="14" t="s">
        <v>4</v>
      </c>
      <c r="C19" s="5">
        <f>16.6+13.85</f>
        <v>30.450000000000003</v>
      </c>
      <c r="D19" s="15">
        <v>11.25</v>
      </c>
      <c r="E19" s="5">
        <v>12.18</v>
      </c>
      <c r="F19" s="15">
        <v>10.27</v>
      </c>
      <c r="G19" s="5">
        <v>13.61</v>
      </c>
      <c r="H19" s="153">
        <v>10.210000000000001</v>
      </c>
      <c r="I19" s="153"/>
      <c r="J19" s="5">
        <f>11.01+14.5</f>
        <v>25.509999999999998</v>
      </c>
    </row>
    <row r="20" spans="2:10" ht="16.5">
      <c r="B20" s="14" t="s">
        <v>5</v>
      </c>
      <c r="C20" s="79">
        <f>C17*C22*L5</f>
        <v>39802400.000000007</v>
      </c>
      <c r="D20" s="87">
        <f>D17*D22*L5</f>
        <v>32089200.000000004</v>
      </c>
      <c r="E20" s="79">
        <f>E17*E22*L5</f>
        <v>33193600</v>
      </c>
      <c r="F20" s="87">
        <f>F17*F22*L5</f>
        <v>32423600</v>
      </c>
      <c r="G20" s="79">
        <f>G17*G22*L5</f>
        <v>33787599.999999993</v>
      </c>
      <c r="H20" s="146">
        <f>H17*H22*L5</f>
        <v>32115600</v>
      </c>
      <c r="I20" s="146"/>
      <c r="J20" s="79">
        <f>J17*J22*L5</f>
        <v>38174399.999999993</v>
      </c>
    </row>
    <row r="21" spans="2:10" ht="16.5">
      <c r="B21" s="16" t="s">
        <v>6</v>
      </c>
      <c r="C21" s="8"/>
      <c r="D21" s="17"/>
      <c r="E21" s="8"/>
      <c r="F21" s="17"/>
      <c r="G21" s="8"/>
      <c r="H21" s="146"/>
      <c r="I21" s="146"/>
      <c r="J21" s="8"/>
    </row>
    <row r="22" spans="2:10" ht="16.5">
      <c r="B22" s="18" t="s">
        <v>7</v>
      </c>
      <c r="C22" s="11">
        <v>5500</v>
      </c>
      <c r="D22" s="19">
        <v>5500</v>
      </c>
      <c r="E22" s="11">
        <v>5500</v>
      </c>
      <c r="F22" s="19">
        <v>5500</v>
      </c>
      <c r="G22" s="11">
        <v>5500</v>
      </c>
      <c r="H22" s="147">
        <v>5500</v>
      </c>
      <c r="I22" s="147"/>
      <c r="J22" s="11">
        <v>5500</v>
      </c>
    </row>
    <row r="24" spans="2:10">
      <c r="B24" s="133"/>
      <c r="C24" s="133"/>
      <c r="D24" s="133"/>
      <c r="E24" s="133"/>
      <c r="F24" s="133"/>
      <c r="G24" s="133"/>
      <c r="H24" s="133"/>
      <c r="I24" s="133"/>
      <c r="J24" s="133"/>
    </row>
    <row r="26" spans="2:10" ht="28.5">
      <c r="E26" s="139" t="s">
        <v>34</v>
      </c>
    </row>
  </sheetData>
  <mergeCells count="8">
    <mergeCell ref="H20:I20"/>
    <mergeCell ref="H21:I21"/>
    <mergeCell ref="H22:I22"/>
    <mergeCell ref="B14:J15"/>
    <mergeCell ref="H16:I16"/>
    <mergeCell ref="H17:I17"/>
    <mergeCell ref="H18:I18"/>
    <mergeCell ref="H19:I19"/>
  </mergeCells>
  <pageMargins left="0.70866141732283472" right="0.70866141732283472" top="0.74803149606299213" bottom="0.74803149606299213" header="0.51181102362204722" footer="0.51181102362204722"/>
  <pageSetup paperSize="9" scale="81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windowProtection="1" zoomScale="80" zoomScaleNormal="80" workbookViewId="0">
      <selection activeCell="F22" sqref="F22"/>
    </sheetView>
  </sheetViews>
  <sheetFormatPr defaultRowHeight="15"/>
  <cols>
    <col min="1" max="1" width="8.7109375" customWidth="1"/>
    <col min="2" max="2" width="17.28515625" customWidth="1"/>
    <col min="3" max="3" width="17" customWidth="1"/>
    <col min="4" max="4" width="15.7109375" customWidth="1"/>
    <col min="5" max="5" width="16" customWidth="1"/>
    <col min="6" max="6" width="17.85546875" customWidth="1"/>
    <col min="7" max="7" width="17" customWidth="1"/>
    <col min="8" max="8" width="4.28515625" customWidth="1"/>
    <col min="9" max="9" width="14.85546875" customWidth="1"/>
    <col min="10" max="10" width="16.140625" customWidth="1"/>
    <col min="11" max="1025" width="8.7109375" customWidth="1"/>
  </cols>
  <sheetData>
    <row r="2" spans="2:12" ht="26.25">
      <c r="E2" s="140" t="s">
        <v>35</v>
      </c>
    </row>
    <row r="3" spans="2:12">
      <c r="B3" s="103"/>
      <c r="C3" s="103"/>
      <c r="D3" s="103"/>
      <c r="E3" s="103"/>
      <c r="F3" s="103"/>
      <c r="G3" s="103"/>
      <c r="H3" s="103"/>
      <c r="I3" s="103"/>
      <c r="J3" s="103"/>
    </row>
    <row r="4" spans="2:12" ht="16.5">
      <c r="B4" s="47" t="s">
        <v>8</v>
      </c>
      <c r="C4" s="48"/>
      <c r="D4" s="48"/>
      <c r="E4" s="48"/>
      <c r="F4" s="48"/>
      <c r="G4" s="48"/>
      <c r="H4" s="48"/>
      <c r="I4" s="48"/>
      <c r="J4" s="48"/>
    </row>
    <row r="5" spans="2:12" ht="16.5">
      <c r="B5" s="1" t="s">
        <v>1</v>
      </c>
      <c r="C5" s="44">
        <v>1</v>
      </c>
      <c r="D5" s="78"/>
      <c r="E5" s="44">
        <v>17</v>
      </c>
      <c r="F5" s="44">
        <v>20</v>
      </c>
      <c r="G5" s="44">
        <v>23</v>
      </c>
      <c r="H5" s="78"/>
      <c r="I5" s="45">
        <v>29</v>
      </c>
      <c r="J5" s="46">
        <v>9</v>
      </c>
      <c r="L5" s="28">
        <f>'+0,000(2 этаж)'!L5</f>
        <v>80</v>
      </c>
    </row>
    <row r="6" spans="2:12" ht="16.5">
      <c r="B6" s="2" t="s">
        <v>2</v>
      </c>
      <c r="C6" s="30">
        <f>C7+C8</f>
        <v>74.13</v>
      </c>
      <c r="D6" s="39"/>
      <c r="E6" s="30">
        <f>E7+E8</f>
        <v>71.58</v>
      </c>
      <c r="F6" s="30">
        <f>F7+F8</f>
        <v>77.989999999999995</v>
      </c>
      <c r="G6" s="30">
        <f>G7+G8</f>
        <v>71.680000000000007</v>
      </c>
      <c r="H6" s="39"/>
      <c r="I6" s="92">
        <f>I7+I8</f>
        <v>44.330000000000005</v>
      </c>
      <c r="J6" s="63">
        <f>J7+J8</f>
        <v>87.25</v>
      </c>
    </row>
    <row r="7" spans="2:12" ht="16.5">
      <c r="B7" s="2" t="s">
        <v>3</v>
      </c>
      <c r="C7" s="5">
        <f>36.66+5.56+6.77+2.71</f>
        <v>51.699999999999996</v>
      </c>
      <c r="D7" s="40"/>
      <c r="E7" s="5">
        <f>55.1+5.6</f>
        <v>60.7</v>
      </c>
      <c r="F7" s="5">
        <f>57.23+5.6</f>
        <v>62.83</v>
      </c>
      <c r="G7" s="5">
        <f>56.01+5.21</f>
        <v>61.22</v>
      </c>
      <c r="H7" s="40"/>
      <c r="I7" s="88">
        <f>21.92+4.21+5.12</f>
        <v>31.250000000000004</v>
      </c>
      <c r="J7" s="6">
        <f>41.92+4.76+5.2+5.98</f>
        <v>57.86</v>
      </c>
    </row>
    <row r="8" spans="2:12" ht="16.5">
      <c r="B8" s="2" t="s">
        <v>4</v>
      </c>
      <c r="C8" s="5">
        <f>13.26+9.17</f>
        <v>22.43</v>
      </c>
      <c r="D8" s="40"/>
      <c r="E8" s="5">
        <v>10.88</v>
      </c>
      <c r="F8" s="5">
        <v>15.16</v>
      </c>
      <c r="G8" s="5">
        <v>10.46</v>
      </c>
      <c r="H8" s="40"/>
      <c r="I8" s="88">
        <v>13.08</v>
      </c>
      <c r="J8" s="6">
        <f>15.45+13.94</f>
        <v>29.39</v>
      </c>
    </row>
    <row r="9" spans="2:12" ht="16.5">
      <c r="B9" s="2" t="s">
        <v>5</v>
      </c>
      <c r="C9" s="79">
        <f>C6*C11*L5</f>
        <v>20756399.999999996</v>
      </c>
      <c r="D9" s="80"/>
      <c r="E9" s="79">
        <f>E6*E11*L5</f>
        <v>20042400</v>
      </c>
      <c r="F9" s="79">
        <f>F6*F11*L5</f>
        <v>21837200</v>
      </c>
      <c r="G9" s="79">
        <f>G6*G11*L5</f>
        <v>20070400.000000004</v>
      </c>
      <c r="H9" s="80"/>
      <c r="I9" s="89">
        <f>I6*I11*L5</f>
        <v>0</v>
      </c>
      <c r="J9" s="81">
        <f>J6*J11*L5</f>
        <v>24430000</v>
      </c>
    </row>
    <row r="10" spans="2:12" ht="16.5">
      <c r="B10" s="7" t="s">
        <v>6</v>
      </c>
      <c r="C10" s="8"/>
      <c r="D10" s="80"/>
      <c r="E10" s="8" t="s">
        <v>30</v>
      </c>
      <c r="F10" s="8" t="s">
        <v>31</v>
      </c>
      <c r="G10" s="8" t="s">
        <v>31</v>
      </c>
      <c r="H10" s="80"/>
      <c r="I10" s="90"/>
      <c r="J10" s="9"/>
    </row>
    <row r="11" spans="2:12" ht="16.5">
      <c r="B11" s="10" t="s">
        <v>7</v>
      </c>
      <c r="C11" s="11">
        <v>3500</v>
      </c>
      <c r="D11" s="83"/>
      <c r="E11" s="11">
        <v>3500</v>
      </c>
      <c r="F11" s="11">
        <v>3500</v>
      </c>
      <c r="G11" s="11">
        <v>3500</v>
      </c>
      <c r="H11" s="83"/>
      <c r="I11" s="91"/>
      <c r="J11" s="12">
        <v>3500</v>
      </c>
    </row>
    <row r="12" spans="2:12" ht="16.5">
      <c r="B12" s="84"/>
      <c r="C12" s="55"/>
      <c r="D12" s="55"/>
      <c r="E12" s="55"/>
      <c r="F12" s="55"/>
      <c r="G12" s="55"/>
      <c r="H12" s="55"/>
      <c r="I12" s="55"/>
      <c r="J12" s="85"/>
    </row>
    <row r="13" spans="2:12" ht="16.5">
      <c r="B13" s="84"/>
      <c r="C13" s="55"/>
      <c r="D13" s="55"/>
      <c r="E13" s="55"/>
      <c r="F13" s="55"/>
      <c r="G13" s="55"/>
      <c r="H13" s="55"/>
      <c r="I13" s="55"/>
      <c r="J13" s="85"/>
    </row>
    <row r="14" spans="2:12" ht="15" customHeight="1">
      <c r="B14" s="148"/>
      <c r="C14" s="149"/>
      <c r="D14" s="149"/>
      <c r="E14" s="149"/>
      <c r="F14" s="149"/>
      <c r="G14" s="149"/>
      <c r="H14" s="149"/>
      <c r="I14" s="149"/>
      <c r="J14" s="150"/>
    </row>
    <row r="15" spans="2:12" ht="15" customHeight="1">
      <c r="B15" s="148"/>
      <c r="C15" s="149"/>
      <c r="D15" s="149"/>
      <c r="E15" s="149"/>
      <c r="F15" s="149"/>
      <c r="G15" s="149"/>
      <c r="H15" s="149"/>
      <c r="I15" s="149"/>
      <c r="J15" s="150"/>
    </row>
    <row r="16" spans="2:12" ht="16.5">
      <c r="B16" s="13" t="s">
        <v>1</v>
      </c>
      <c r="C16" s="44">
        <v>2</v>
      </c>
      <c r="D16" s="41">
        <v>3</v>
      </c>
      <c r="E16" s="44">
        <v>4</v>
      </c>
      <c r="F16" s="115">
        <v>5</v>
      </c>
      <c r="G16" s="45">
        <v>6</v>
      </c>
      <c r="H16" s="151">
        <v>7</v>
      </c>
      <c r="I16" s="151"/>
      <c r="J16" s="44">
        <v>8</v>
      </c>
    </row>
    <row r="17" spans="2:10" ht="16.5">
      <c r="B17" s="14" t="s">
        <v>2</v>
      </c>
      <c r="C17" s="30">
        <f t="shared" ref="C17:H17" si="0">C18+C19</f>
        <v>85.660000000000011</v>
      </c>
      <c r="D17" s="86">
        <f t="shared" si="0"/>
        <v>71.05</v>
      </c>
      <c r="E17" s="30">
        <f t="shared" si="0"/>
        <v>73.11</v>
      </c>
      <c r="F17" s="141">
        <f t="shared" si="0"/>
        <v>76.52</v>
      </c>
      <c r="G17" s="92">
        <f t="shared" si="0"/>
        <v>75.02</v>
      </c>
      <c r="H17" s="152">
        <f t="shared" si="0"/>
        <v>72.699999999999989</v>
      </c>
      <c r="I17" s="152"/>
      <c r="J17" s="30">
        <f>J18+J19</f>
        <v>87.2</v>
      </c>
    </row>
    <row r="18" spans="2:10" ht="16.5">
      <c r="B18" s="14" t="s">
        <v>3</v>
      </c>
      <c r="C18" s="5">
        <f>44.59+5.19+4.23+5.06</f>
        <v>59.070000000000007</v>
      </c>
      <c r="D18" s="15">
        <f>40.07+5.43+4.5+4.64+5.77</f>
        <v>60.41</v>
      </c>
      <c r="E18" s="5">
        <f>40.88+5.43+4.35+5.06+6.15</f>
        <v>61.870000000000005</v>
      </c>
      <c r="F18" s="117">
        <f>40.88+5.43+4.51+5.06+6.15</f>
        <v>62.03</v>
      </c>
      <c r="G18" s="88">
        <f>40.88+5.19+4.51+5.06+6.15</f>
        <v>61.79</v>
      </c>
      <c r="H18" s="153">
        <f>40.9+5.19+4.51+4.64+6.15</f>
        <v>61.389999999999993</v>
      </c>
      <c r="I18" s="153"/>
      <c r="J18" s="5">
        <f>38.54+5.91+5.11+5+5.06</f>
        <v>59.620000000000005</v>
      </c>
    </row>
    <row r="19" spans="2:10" ht="16.5">
      <c r="B19" s="14" t="s">
        <v>4</v>
      </c>
      <c r="C19" s="5">
        <f>12.74+13.85</f>
        <v>26.59</v>
      </c>
      <c r="D19" s="15">
        <v>10.64</v>
      </c>
      <c r="E19" s="5">
        <v>11.24</v>
      </c>
      <c r="F19" s="117">
        <v>14.49</v>
      </c>
      <c r="G19" s="88">
        <v>13.23</v>
      </c>
      <c r="H19" s="153">
        <v>11.31</v>
      </c>
      <c r="I19" s="153"/>
      <c r="J19" s="5">
        <f>14.03+13.55</f>
        <v>27.58</v>
      </c>
    </row>
    <row r="20" spans="2:10" ht="16.5">
      <c r="B20" s="14" t="s">
        <v>5</v>
      </c>
      <c r="C20" s="79">
        <f>C17*C22*L5</f>
        <v>37690400.000000007</v>
      </c>
      <c r="D20" s="87">
        <f>D17*D22*L5</f>
        <v>31262000</v>
      </c>
      <c r="E20" s="79">
        <f>E17*E22*L5</f>
        <v>32168400</v>
      </c>
      <c r="F20" s="142">
        <f>F17*F22*L5</f>
        <v>33668800</v>
      </c>
      <c r="G20" s="89">
        <f>G17*G22*65</f>
        <v>0</v>
      </c>
      <c r="H20" s="146">
        <f>H22*H17*L5</f>
        <v>31987999.999999996</v>
      </c>
      <c r="I20" s="146"/>
      <c r="J20" s="79">
        <f>J17*J22*L5</f>
        <v>38368000</v>
      </c>
    </row>
    <row r="21" spans="2:10" ht="16.5">
      <c r="B21" s="16" t="s">
        <v>6</v>
      </c>
      <c r="C21" s="8"/>
      <c r="D21" s="17"/>
      <c r="E21" s="8"/>
      <c r="F21" s="143"/>
      <c r="G21" s="90" t="s">
        <v>9</v>
      </c>
      <c r="H21" s="146"/>
      <c r="I21" s="146"/>
      <c r="J21" s="8"/>
    </row>
    <row r="22" spans="2:10" ht="16.5">
      <c r="B22" s="18" t="s">
        <v>7</v>
      </c>
      <c r="C22" s="11">
        <v>5500</v>
      </c>
      <c r="D22" s="19">
        <v>5500</v>
      </c>
      <c r="E22" s="11">
        <v>5500</v>
      </c>
      <c r="F22" s="144">
        <v>5500</v>
      </c>
      <c r="G22" s="91"/>
      <c r="H22" s="147">
        <v>5500</v>
      </c>
      <c r="I22" s="147"/>
      <c r="J22" s="11">
        <v>5500</v>
      </c>
    </row>
    <row r="24" spans="2:10">
      <c r="B24" s="134"/>
      <c r="C24" s="134"/>
      <c r="D24" s="134"/>
      <c r="E24" s="134"/>
      <c r="F24" s="134"/>
      <c r="G24" s="134"/>
      <c r="H24" s="134"/>
      <c r="I24" s="134"/>
      <c r="J24" s="134"/>
    </row>
    <row r="26" spans="2:10" ht="28.5">
      <c r="E26" s="139" t="s">
        <v>34</v>
      </c>
    </row>
  </sheetData>
  <mergeCells count="8">
    <mergeCell ref="H20:I20"/>
    <mergeCell ref="H21:I21"/>
    <mergeCell ref="H22:I22"/>
    <mergeCell ref="B14:J15"/>
    <mergeCell ref="H16:I16"/>
    <mergeCell ref="H17:I17"/>
    <mergeCell ref="H18:I18"/>
    <mergeCell ref="H19:I19"/>
  </mergeCells>
  <pageMargins left="0.70866141732283472" right="0.70866141732283472" top="0.74803149606299213" bottom="0.74803149606299213" header="0.51181102362204722" footer="0.51181102362204722"/>
  <pageSetup paperSize="9" scale="81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6"/>
  <sheetViews>
    <sheetView windowProtection="1" zoomScale="70" zoomScaleNormal="70" workbookViewId="0">
      <selection activeCell="D16" sqref="D16:F22"/>
    </sheetView>
  </sheetViews>
  <sheetFormatPr defaultRowHeight="15"/>
  <cols>
    <col min="1" max="1" width="8.7109375" customWidth="1"/>
    <col min="2" max="2" width="18.42578125" customWidth="1"/>
    <col min="3" max="3" width="15" customWidth="1"/>
    <col min="4" max="4" width="15.7109375" customWidth="1"/>
    <col min="5" max="5" width="11.7109375" customWidth="1"/>
    <col min="6" max="6" width="12" customWidth="1"/>
    <col min="7" max="7" width="11.42578125" customWidth="1"/>
    <col min="8" max="9" width="11.140625" customWidth="1"/>
    <col min="10" max="10" width="11" customWidth="1"/>
    <col min="11" max="11" width="17.140625" customWidth="1"/>
    <col min="12" max="12" width="17" customWidth="1"/>
    <col min="13" max="1025" width="8.7109375" customWidth="1"/>
  </cols>
  <sheetData>
    <row r="2" spans="2:13" ht="28.5">
      <c r="F2" s="139" t="s">
        <v>35</v>
      </c>
    </row>
    <row r="3" spans="2:13">
      <c r="B3" s="93"/>
      <c r="C3" s="103"/>
      <c r="D3" s="103"/>
      <c r="E3" s="103"/>
      <c r="F3" s="103"/>
      <c r="G3" s="103"/>
      <c r="H3" s="103"/>
      <c r="I3" s="103"/>
      <c r="J3" s="103"/>
      <c r="K3" s="135">
        <v>80</v>
      </c>
      <c r="L3" s="103"/>
    </row>
    <row r="4" spans="2:13" ht="16.5">
      <c r="B4" s="47" t="s">
        <v>10</v>
      </c>
      <c r="C4" s="48"/>
      <c r="D4" s="48"/>
      <c r="E4" s="48"/>
      <c r="F4" s="48"/>
      <c r="G4" s="48"/>
      <c r="H4" s="48"/>
      <c r="I4" s="48"/>
    </row>
    <row r="5" spans="2:13" ht="33">
      <c r="B5" s="20" t="s">
        <v>11</v>
      </c>
      <c r="C5" s="44">
        <v>1</v>
      </c>
      <c r="D5" s="78"/>
      <c r="E5" s="121" t="s">
        <v>12</v>
      </c>
      <c r="F5" s="44" t="s">
        <v>13</v>
      </c>
      <c r="G5" s="44" t="s">
        <v>14</v>
      </c>
      <c r="H5" s="44" t="s">
        <v>15</v>
      </c>
      <c r="I5" s="46" t="s">
        <v>16</v>
      </c>
      <c r="J5" s="46" t="s">
        <v>17</v>
      </c>
      <c r="K5" s="94"/>
      <c r="L5" s="36"/>
    </row>
    <row r="6" spans="2:13" ht="16.5">
      <c r="B6" s="14" t="s">
        <v>2</v>
      </c>
      <c r="C6" s="30">
        <f>C7+C8</f>
        <v>76.260000000000005</v>
      </c>
      <c r="D6" s="39"/>
      <c r="E6" s="116"/>
      <c r="F6" s="3"/>
      <c r="G6" s="3"/>
      <c r="H6" s="3"/>
      <c r="I6" s="4"/>
      <c r="J6" s="4"/>
      <c r="K6" s="38"/>
      <c r="L6" s="37"/>
    </row>
    <row r="7" spans="2:13" ht="16.5">
      <c r="B7" s="14" t="s">
        <v>3</v>
      </c>
      <c r="C7" s="5">
        <f>36.61+5.56+2.68+6.77</f>
        <v>51.620000000000005</v>
      </c>
      <c r="D7" s="40"/>
      <c r="E7" s="122"/>
      <c r="F7" s="5"/>
      <c r="G7" s="5"/>
      <c r="H7" s="5"/>
      <c r="I7" s="6"/>
      <c r="J7" s="6"/>
      <c r="K7" s="38"/>
      <c r="L7" s="37"/>
    </row>
    <row r="8" spans="2:13" ht="16.5">
      <c r="B8" s="14" t="s">
        <v>4</v>
      </c>
      <c r="C8" s="5">
        <f>10.28+14.36</f>
        <v>24.64</v>
      </c>
      <c r="D8" s="40"/>
      <c r="E8" s="122"/>
      <c r="F8" s="5"/>
      <c r="G8" s="5"/>
      <c r="H8" s="5"/>
      <c r="I8" s="6"/>
      <c r="J8" s="6"/>
      <c r="K8" s="38"/>
      <c r="L8" s="37"/>
    </row>
    <row r="9" spans="2:13" ht="16.5">
      <c r="B9" s="14" t="s">
        <v>5</v>
      </c>
      <c r="C9" s="35">
        <f>C6*C11*K3</f>
        <v>24403200</v>
      </c>
      <c r="D9" s="95"/>
      <c r="E9" s="123">
        <f>100000*K3</f>
        <v>8000000</v>
      </c>
      <c r="F9" s="35">
        <f>100000*K3</f>
        <v>8000000</v>
      </c>
      <c r="G9" s="35">
        <f>100000*K3</f>
        <v>8000000</v>
      </c>
      <c r="H9" s="35">
        <f>100000*K3</f>
        <v>8000000</v>
      </c>
      <c r="I9" s="35">
        <f>100000*K3</f>
        <v>8000000</v>
      </c>
      <c r="J9" s="35">
        <f>100000*K3</f>
        <v>8000000</v>
      </c>
      <c r="K9" s="38"/>
      <c r="L9" s="37"/>
    </row>
    <row r="10" spans="2:13" ht="16.5">
      <c r="B10" s="16" t="s">
        <v>6</v>
      </c>
      <c r="C10" s="21"/>
      <c r="D10" s="95"/>
      <c r="E10" s="124"/>
      <c r="F10" s="21"/>
      <c r="G10" s="21"/>
      <c r="H10" s="21"/>
      <c r="I10" s="22"/>
      <c r="J10" s="22"/>
      <c r="K10" s="38"/>
      <c r="L10" s="37"/>
    </row>
    <row r="11" spans="2:13" ht="16.5">
      <c r="B11" s="18" t="s">
        <v>7</v>
      </c>
      <c r="C11" s="23">
        <v>4000</v>
      </c>
      <c r="D11" s="96"/>
      <c r="E11" s="125"/>
      <c r="F11" s="23"/>
      <c r="G11" s="23"/>
      <c r="H11" s="23"/>
      <c r="I11" s="24"/>
      <c r="J11" s="24"/>
      <c r="K11" s="38"/>
      <c r="L11" s="37"/>
    </row>
    <row r="12" spans="2:13" ht="16.5">
      <c r="B12" s="84"/>
      <c r="C12" s="55"/>
      <c r="D12" s="55"/>
      <c r="E12" s="55"/>
      <c r="F12" s="55"/>
      <c r="G12" s="55"/>
      <c r="H12" s="55"/>
      <c r="I12" s="55"/>
      <c r="J12" s="38"/>
      <c r="K12" s="38"/>
      <c r="L12" s="25" t="s">
        <v>18</v>
      </c>
    </row>
    <row r="13" spans="2:13" ht="16.5">
      <c r="B13" s="84"/>
      <c r="C13" s="55"/>
      <c r="D13" s="55"/>
      <c r="E13" s="55"/>
      <c r="F13" s="55"/>
      <c r="G13" s="55"/>
      <c r="H13" s="55"/>
      <c r="I13" s="55"/>
      <c r="J13" s="38"/>
      <c r="K13" s="38"/>
      <c r="L13" s="3"/>
    </row>
    <row r="14" spans="2:13" ht="16.5">
      <c r="B14" s="148"/>
      <c r="C14" s="149"/>
      <c r="D14" s="149"/>
      <c r="E14" s="149"/>
      <c r="F14" s="149"/>
      <c r="G14" s="149"/>
      <c r="H14" s="149"/>
      <c r="I14" s="149"/>
      <c r="J14" s="38"/>
      <c r="K14" s="38"/>
      <c r="L14" s="97">
        <f>100000*K3</f>
        <v>8000000</v>
      </c>
      <c r="M14" t="s">
        <v>5</v>
      </c>
    </row>
    <row r="15" spans="2:13" ht="15" customHeight="1">
      <c r="B15" s="148"/>
      <c r="C15" s="149"/>
      <c r="D15" s="149"/>
      <c r="E15" s="149"/>
      <c r="F15" s="149"/>
      <c r="G15" s="149"/>
      <c r="H15" s="149"/>
      <c r="I15" s="149"/>
      <c r="J15" s="38"/>
      <c r="K15" s="38"/>
      <c r="L15" s="37"/>
    </row>
    <row r="16" spans="2:13" ht="16.5">
      <c r="B16" s="13" t="s">
        <v>1</v>
      </c>
      <c r="C16" s="44">
        <v>2</v>
      </c>
      <c r="D16" s="115">
        <v>3</v>
      </c>
      <c r="E16" s="154">
        <v>4</v>
      </c>
      <c r="F16" s="155"/>
      <c r="G16" s="156">
        <v>5</v>
      </c>
      <c r="H16" s="157"/>
      <c r="I16" s="158">
        <v>6</v>
      </c>
      <c r="J16" s="159"/>
      <c r="K16" s="41">
        <v>7</v>
      </c>
      <c r="L16" s="44">
        <v>8</v>
      </c>
    </row>
    <row r="17" spans="2:12" ht="16.5">
      <c r="B17" s="14" t="s">
        <v>2</v>
      </c>
      <c r="C17" s="30">
        <f>C18+C19</f>
        <v>90.390000000000015</v>
      </c>
      <c r="D17" s="141">
        <f>D18+D19</f>
        <v>56.519999999999996</v>
      </c>
      <c r="E17" s="160">
        <f>E18+E19</f>
        <v>55.739999999999995</v>
      </c>
      <c r="F17" s="161"/>
      <c r="G17" s="162">
        <f>G18+G19</f>
        <v>57.72</v>
      </c>
      <c r="H17" s="163"/>
      <c r="I17" s="162">
        <f>I18+I19</f>
        <v>56.58</v>
      </c>
      <c r="J17" s="164"/>
      <c r="K17" s="98">
        <f>K18+K19</f>
        <v>57.59</v>
      </c>
      <c r="L17" s="30">
        <f>L18+L19</f>
        <v>69.949999999999989</v>
      </c>
    </row>
    <row r="18" spans="2:12" ht="16.5">
      <c r="B18" s="14" t="s">
        <v>3</v>
      </c>
      <c r="C18" s="5">
        <f>44.59+5.19+4.23+5.06</f>
        <v>59.070000000000007</v>
      </c>
      <c r="D18" s="117">
        <f>30.18+5.02+4.02+4.53</f>
        <v>43.75</v>
      </c>
      <c r="E18" s="165">
        <f>30.18+4.98+4.02+5.06</f>
        <v>44.239999999999995</v>
      </c>
      <c r="F18" s="166"/>
      <c r="G18" s="167">
        <f>30.18+4.98+4.13+5.06</f>
        <v>44.35</v>
      </c>
      <c r="H18" s="168"/>
      <c r="I18" s="169">
        <f>30.18+4.98+4.18+5.06</f>
        <v>44.4</v>
      </c>
      <c r="J18" s="170"/>
      <c r="K18" s="42">
        <f>30.18+4.78+4.17+4.53</f>
        <v>43.660000000000004</v>
      </c>
      <c r="L18" s="5">
        <f>29.18+4.6+4.26+4.84</f>
        <v>42.879999999999995</v>
      </c>
    </row>
    <row r="19" spans="2:12" ht="16.5">
      <c r="B19" s="14" t="s">
        <v>4</v>
      </c>
      <c r="C19" s="5">
        <f>12.51+18.81</f>
        <v>31.32</v>
      </c>
      <c r="D19" s="117">
        <v>12.77</v>
      </c>
      <c r="E19" s="165">
        <v>11.5</v>
      </c>
      <c r="F19" s="166"/>
      <c r="G19" s="167">
        <v>13.37</v>
      </c>
      <c r="H19" s="168"/>
      <c r="I19" s="169">
        <v>12.18</v>
      </c>
      <c r="J19" s="170"/>
      <c r="K19" s="42">
        <v>13.93</v>
      </c>
      <c r="L19" s="5">
        <f>13+14.07</f>
        <v>27.07</v>
      </c>
    </row>
    <row r="20" spans="2:12" ht="16.5">
      <c r="B20" s="14" t="s">
        <v>5</v>
      </c>
      <c r="C20" s="35">
        <f>C17*C22*K3</f>
        <v>39771600.000000007</v>
      </c>
      <c r="D20" s="118">
        <f>D17*D22*K3</f>
        <v>24868800</v>
      </c>
      <c r="E20" s="177">
        <f>E17*E22*K3</f>
        <v>24525600</v>
      </c>
      <c r="F20" s="178"/>
      <c r="G20" s="179">
        <f>G17*G22*K3</f>
        <v>25396800</v>
      </c>
      <c r="H20" s="180"/>
      <c r="I20" s="181">
        <f>I17*I22*K3</f>
        <v>24895200</v>
      </c>
      <c r="J20" s="182"/>
      <c r="K20" s="99">
        <f>K17*K22*K3</f>
        <v>25339600</v>
      </c>
      <c r="L20" s="35">
        <f>L17*L22*K3</f>
        <v>30777999.999999996</v>
      </c>
    </row>
    <row r="21" spans="2:12" ht="16.5">
      <c r="B21" s="16" t="s">
        <v>6</v>
      </c>
      <c r="C21" s="21"/>
      <c r="D21" s="119"/>
      <c r="E21" s="183"/>
      <c r="F21" s="184"/>
      <c r="G21" s="185"/>
      <c r="H21" s="186"/>
      <c r="I21" s="185"/>
      <c r="J21" s="187"/>
      <c r="K21" s="26"/>
      <c r="L21" s="21"/>
    </row>
    <row r="22" spans="2:12" ht="16.5">
      <c r="B22" s="18" t="s">
        <v>7</v>
      </c>
      <c r="C22" s="23">
        <v>5500</v>
      </c>
      <c r="D22" s="120">
        <v>5500</v>
      </c>
      <c r="E22" s="171">
        <v>5500</v>
      </c>
      <c r="F22" s="172"/>
      <c r="G22" s="173">
        <v>5500</v>
      </c>
      <c r="H22" s="174"/>
      <c r="I22" s="175">
        <v>5500</v>
      </c>
      <c r="J22" s="176"/>
      <c r="K22" s="27">
        <v>5500</v>
      </c>
      <c r="L22" s="23">
        <v>5500</v>
      </c>
    </row>
    <row r="24" spans="2:12">
      <c r="B24" s="100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6" spans="2:12" ht="28.5">
      <c r="F26" s="139" t="s">
        <v>34</v>
      </c>
    </row>
  </sheetData>
  <mergeCells count="22">
    <mergeCell ref="E22:F22"/>
    <mergeCell ref="G22:H22"/>
    <mergeCell ref="I22:J22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B14:I15"/>
    <mergeCell ref="E16:F16"/>
    <mergeCell ref="G16:H16"/>
    <mergeCell ref="I16:J16"/>
    <mergeCell ref="E17:F17"/>
    <mergeCell ref="G17:H17"/>
    <mergeCell ref="I17:J17"/>
  </mergeCells>
  <pageMargins left="0.70866141732283472" right="0.70866141732283472" top="0.74803149606299213" bottom="0.74803149606299213" header="0.51181102362204722" footer="0.51181102362204722"/>
  <pageSetup paperSize="9" scale="77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6"/>
  <sheetViews>
    <sheetView windowProtection="1" zoomScale="70" zoomScaleNormal="70" workbookViewId="0">
      <selection activeCell="F26" sqref="F26"/>
    </sheetView>
  </sheetViews>
  <sheetFormatPr defaultRowHeight="15"/>
  <cols>
    <col min="1" max="1" width="8.7109375" customWidth="1"/>
    <col min="2" max="2" width="18.42578125" customWidth="1"/>
    <col min="3" max="3" width="15" customWidth="1"/>
    <col min="4" max="4" width="15.7109375" customWidth="1"/>
    <col min="5" max="5" width="11.7109375" customWidth="1"/>
    <col min="6" max="6" width="12" customWidth="1"/>
    <col min="7" max="7" width="11.28515625" customWidth="1"/>
    <col min="8" max="9" width="11.140625" customWidth="1"/>
    <col min="10" max="10" width="11" customWidth="1"/>
    <col min="11" max="11" width="12" customWidth="1"/>
    <col min="12" max="12" width="11.85546875" customWidth="1"/>
    <col min="13" max="13" width="12.5703125" customWidth="1"/>
    <col min="14" max="1025" width="8.7109375" customWidth="1"/>
  </cols>
  <sheetData>
    <row r="2" spans="2:13" ht="26.25">
      <c r="F2" s="140" t="s">
        <v>35</v>
      </c>
    </row>
    <row r="3" spans="2:13">
      <c r="B3" s="101"/>
      <c r="C3" s="101"/>
      <c r="D3" s="101"/>
      <c r="E3" s="101"/>
      <c r="F3" s="101"/>
      <c r="G3" s="101"/>
      <c r="H3" s="101"/>
      <c r="I3" s="101"/>
      <c r="J3" s="101"/>
      <c r="K3" s="132">
        <v>80</v>
      </c>
      <c r="L3" s="101"/>
      <c r="M3" s="101"/>
    </row>
    <row r="4" spans="2:13" ht="17.25" thickBot="1">
      <c r="B4" s="47" t="s">
        <v>19</v>
      </c>
      <c r="C4" s="48"/>
      <c r="D4" s="48"/>
      <c r="E4" s="48"/>
      <c r="F4" s="48"/>
      <c r="G4" s="48"/>
      <c r="H4" s="48"/>
      <c r="I4" s="48"/>
    </row>
    <row r="5" spans="2:13" ht="33">
      <c r="B5" s="20" t="s">
        <v>11</v>
      </c>
      <c r="C5" s="29">
        <v>1</v>
      </c>
      <c r="D5" s="78"/>
      <c r="E5" s="29" t="s">
        <v>12</v>
      </c>
      <c r="F5" s="44" t="s">
        <v>13</v>
      </c>
      <c r="G5" s="44" t="s">
        <v>14</v>
      </c>
      <c r="H5" s="45" t="s">
        <v>15</v>
      </c>
      <c r="I5" s="46" t="s">
        <v>16</v>
      </c>
      <c r="J5" s="126" t="s">
        <v>17</v>
      </c>
      <c r="K5" s="46" t="s">
        <v>18</v>
      </c>
      <c r="L5" s="46" t="s">
        <v>20</v>
      </c>
      <c r="M5" s="36"/>
    </row>
    <row r="6" spans="2:13" ht="16.5">
      <c r="B6" s="14" t="s">
        <v>2</v>
      </c>
      <c r="C6" s="30">
        <f>C7+C8</f>
        <v>75.47</v>
      </c>
      <c r="D6" s="39"/>
      <c r="E6" s="30"/>
      <c r="F6" s="3"/>
      <c r="G6" s="3"/>
      <c r="H6" s="92"/>
      <c r="I6" s="4"/>
      <c r="J6" s="127"/>
      <c r="K6" s="4"/>
      <c r="L6" s="4"/>
      <c r="M6" s="37"/>
    </row>
    <row r="7" spans="2:13" ht="16.5">
      <c r="B7" s="14" t="s">
        <v>3</v>
      </c>
      <c r="C7" s="31">
        <f>37+5.65+2.68+6.22</f>
        <v>51.55</v>
      </c>
      <c r="D7" s="40"/>
      <c r="E7" s="31"/>
      <c r="F7" s="5"/>
      <c r="G7" s="5"/>
      <c r="H7" s="88"/>
      <c r="I7" s="6"/>
      <c r="J7" s="128"/>
      <c r="K7" s="6"/>
      <c r="L7" s="6"/>
      <c r="M7" s="37"/>
    </row>
    <row r="8" spans="2:13" ht="16.5">
      <c r="B8" s="14" t="s">
        <v>4</v>
      </c>
      <c r="C8" s="31">
        <f>9.67+14.25</f>
        <v>23.92</v>
      </c>
      <c r="D8" s="40"/>
      <c r="E8" s="31"/>
      <c r="F8" s="5"/>
      <c r="G8" s="5"/>
      <c r="H8" s="88"/>
      <c r="I8" s="6"/>
      <c r="J8" s="128"/>
      <c r="K8" s="6"/>
      <c r="L8" s="6"/>
      <c r="M8" s="37"/>
    </row>
    <row r="9" spans="2:13" ht="16.5">
      <c r="B9" s="14" t="s">
        <v>5</v>
      </c>
      <c r="C9" s="34">
        <f>C6*C11*K3</f>
        <v>24150400</v>
      </c>
      <c r="D9" s="95"/>
      <c r="E9" s="34">
        <f>100000*K3</f>
        <v>8000000</v>
      </c>
      <c r="F9" s="35">
        <f>100000*K3</f>
        <v>8000000</v>
      </c>
      <c r="G9" s="35">
        <f>100000*K3</f>
        <v>8000000</v>
      </c>
      <c r="H9" s="129"/>
      <c r="I9" s="35">
        <f>100000*K3</f>
        <v>8000000</v>
      </c>
      <c r="J9" s="129"/>
      <c r="K9" s="35">
        <f>100000*K3</f>
        <v>8000000</v>
      </c>
      <c r="L9" s="35">
        <f>100000*K3</f>
        <v>8000000</v>
      </c>
      <c r="M9" s="37"/>
    </row>
    <row r="10" spans="2:13" ht="16.5">
      <c r="B10" s="16" t="s">
        <v>6</v>
      </c>
      <c r="C10" s="32"/>
      <c r="D10" s="95"/>
      <c r="E10" s="32"/>
      <c r="F10" s="21"/>
      <c r="G10" s="21"/>
      <c r="H10" s="136"/>
      <c r="I10" s="22"/>
      <c r="J10" s="130"/>
      <c r="K10" s="22"/>
      <c r="L10" s="22"/>
      <c r="M10" s="37"/>
    </row>
    <row r="11" spans="2:13" ht="17.25" thickBot="1">
      <c r="B11" s="18" t="s">
        <v>7</v>
      </c>
      <c r="C11" s="33">
        <v>4000</v>
      </c>
      <c r="D11" s="96"/>
      <c r="E11" s="33"/>
      <c r="F11" s="23"/>
      <c r="G11" s="23"/>
      <c r="H11" s="137"/>
      <c r="I11" s="24"/>
      <c r="J11" s="131"/>
      <c r="K11" s="24"/>
      <c r="L11" s="24"/>
      <c r="M11" s="37"/>
    </row>
    <row r="12" spans="2:13" ht="16.5">
      <c r="B12" s="84"/>
      <c r="C12" s="55"/>
      <c r="D12" s="55"/>
      <c r="E12" s="55"/>
      <c r="F12" s="55"/>
      <c r="G12" s="55"/>
      <c r="H12" s="55"/>
      <c r="I12" s="55"/>
      <c r="J12" s="38"/>
      <c r="K12" s="38"/>
      <c r="L12" s="38"/>
      <c r="M12" s="37"/>
    </row>
    <row r="13" spans="2:13" ht="16.5">
      <c r="B13" s="84"/>
      <c r="C13" s="55"/>
      <c r="D13" s="55"/>
      <c r="E13" s="55"/>
      <c r="F13" s="55"/>
      <c r="G13" s="55"/>
      <c r="H13" s="55"/>
      <c r="I13" s="55"/>
      <c r="J13" s="38"/>
      <c r="K13" s="38"/>
      <c r="L13" s="38"/>
      <c r="M13" s="37"/>
    </row>
    <row r="14" spans="2:13" ht="15" customHeight="1">
      <c r="B14" s="148"/>
      <c r="C14" s="149"/>
      <c r="D14" s="149"/>
      <c r="E14" s="149"/>
      <c r="F14" s="149"/>
      <c r="G14" s="149"/>
      <c r="H14" s="149"/>
      <c r="I14" s="149"/>
      <c r="J14" s="38"/>
      <c r="K14" s="38"/>
      <c r="L14" s="38"/>
      <c r="M14" s="37"/>
    </row>
    <row r="15" spans="2:13" ht="15.75" customHeight="1" thickBot="1">
      <c r="B15" s="148"/>
      <c r="C15" s="149"/>
      <c r="D15" s="149"/>
      <c r="E15" s="149"/>
      <c r="F15" s="149"/>
      <c r="G15" s="149"/>
      <c r="H15" s="149"/>
      <c r="I15" s="149"/>
      <c r="J15" s="38"/>
      <c r="K15" s="38"/>
      <c r="L15" s="38"/>
      <c r="M15" s="37"/>
    </row>
    <row r="16" spans="2:13" ht="16.5">
      <c r="B16" s="13" t="s">
        <v>1</v>
      </c>
      <c r="C16" s="29">
        <v>2</v>
      </c>
      <c r="D16" s="115">
        <v>3</v>
      </c>
      <c r="E16" s="156">
        <v>4</v>
      </c>
      <c r="F16" s="157"/>
      <c r="G16" s="198">
        <v>5</v>
      </c>
      <c r="H16" s="199"/>
      <c r="I16" s="198">
        <v>5</v>
      </c>
      <c r="J16" s="200"/>
      <c r="K16" s="192">
        <v>6</v>
      </c>
      <c r="L16" s="193"/>
      <c r="M16" s="29">
        <v>7</v>
      </c>
    </row>
    <row r="17" spans="2:13" ht="16.5">
      <c r="B17" s="14" t="s">
        <v>2</v>
      </c>
      <c r="C17" s="30">
        <f>C18+C19</f>
        <v>90.75</v>
      </c>
      <c r="D17" s="116">
        <f>D18+D19</f>
        <v>55.66</v>
      </c>
      <c r="E17" s="162">
        <f>E18+E19</f>
        <v>57.47</v>
      </c>
      <c r="F17" s="163"/>
      <c r="G17" s="201"/>
      <c r="H17" s="202"/>
      <c r="I17" s="201">
        <f>I18+I19</f>
        <v>119.28</v>
      </c>
      <c r="J17" s="203"/>
      <c r="K17" s="194">
        <f>K18+K19</f>
        <v>55.589999999999996</v>
      </c>
      <c r="L17" s="195"/>
      <c r="M17" s="3">
        <f>M18+M19</f>
        <v>70.639999999999986</v>
      </c>
    </row>
    <row r="18" spans="2:13" ht="16.5">
      <c r="B18" s="14" t="s">
        <v>3</v>
      </c>
      <c r="C18" s="31">
        <f>44.59+5.12+4.17+5.06</f>
        <v>58.940000000000005</v>
      </c>
      <c r="D18" s="117">
        <f>30.18+4.98+3.94+4.53</f>
        <v>43.629999999999995</v>
      </c>
      <c r="E18" s="167">
        <f>30.18+4.95+3.94+5.06</f>
        <v>44.13</v>
      </c>
      <c r="F18" s="168"/>
      <c r="G18" s="204"/>
      <c r="H18" s="205"/>
      <c r="I18" s="204">
        <f>75.5+4.95+4.95+5.06</f>
        <v>90.460000000000008</v>
      </c>
      <c r="J18" s="206"/>
      <c r="K18" s="196">
        <f>30.18+4.75+4.09+4.53</f>
        <v>43.55</v>
      </c>
      <c r="L18" s="197"/>
      <c r="M18" s="5">
        <f>29.18+4.57+4.26+4.84</f>
        <v>42.849999999999994</v>
      </c>
    </row>
    <row r="19" spans="2:13" ht="16.5">
      <c r="B19" s="14" t="s">
        <v>4</v>
      </c>
      <c r="C19" s="31">
        <f>12.71+19.1</f>
        <v>31.810000000000002</v>
      </c>
      <c r="D19" s="117">
        <v>12.03</v>
      </c>
      <c r="E19" s="167">
        <v>13.34</v>
      </c>
      <c r="F19" s="168"/>
      <c r="G19" s="204"/>
      <c r="H19" s="205"/>
      <c r="I19" s="204">
        <f>15.47+13.35</f>
        <v>28.82</v>
      </c>
      <c r="J19" s="206"/>
      <c r="K19" s="196">
        <v>12.04</v>
      </c>
      <c r="L19" s="197"/>
      <c r="M19" s="5">
        <f>13.57+14.22</f>
        <v>27.79</v>
      </c>
    </row>
    <row r="20" spans="2:13" ht="16.5">
      <c r="B20" s="14" t="s">
        <v>5</v>
      </c>
      <c r="C20" s="34">
        <f>C17*C22*K3</f>
        <v>39930000</v>
      </c>
      <c r="D20" s="118">
        <f>D17*D22*K3</f>
        <v>24490400</v>
      </c>
      <c r="E20" s="179">
        <f>E17*E22*K3</f>
        <v>25286800</v>
      </c>
      <c r="F20" s="180"/>
      <c r="G20" s="210"/>
      <c r="H20" s="211"/>
      <c r="I20" s="210">
        <f>I17*I22*65</f>
        <v>0</v>
      </c>
      <c r="J20" s="212"/>
      <c r="K20" s="188">
        <f>K17*K22*K3</f>
        <v>24459600</v>
      </c>
      <c r="L20" s="189"/>
      <c r="M20" s="35">
        <f>M17*M22*K3</f>
        <v>31081599.999999996</v>
      </c>
    </row>
    <row r="21" spans="2:13" ht="16.5">
      <c r="B21" s="16" t="s">
        <v>6</v>
      </c>
      <c r="C21" s="32"/>
      <c r="D21" s="119"/>
      <c r="E21" s="185"/>
      <c r="F21" s="186"/>
      <c r="G21" s="213"/>
      <c r="H21" s="214"/>
      <c r="I21" s="213" t="s">
        <v>32</v>
      </c>
      <c r="J21" s="215"/>
      <c r="K21" s="188"/>
      <c r="L21" s="189"/>
      <c r="M21" s="21"/>
    </row>
    <row r="22" spans="2:13" ht="17.25" thickBot="1">
      <c r="B22" s="18" t="s">
        <v>7</v>
      </c>
      <c r="C22" s="33">
        <v>5500</v>
      </c>
      <c r="D22" s="120">
        <v>5500</v>
      </c>
      <c r="E22" s="173">
        <v>5500</v>
      </c>
      <c r="F22" s="174"/>
      <c r="G22" s="207"/>
      <c r="H22" s="208"/>
      <c r="I22" s="207"/>
      <c r="J22" s="209"/>
      <c r="K22" s="190">
        <v>5500</v>
      </c>
      <c r="L22" s="191"/>
      <c r="M22" s="23">
        <v>5500</v>
      </c>
    </row>
    <row r="24" spans="2:13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6" spans="2:13" ht="26.25">
      <c r="F26" s="140" t="s">
        <v>34</v>
      </c>
    </row>
  </sheetData>
  <mergeCells count="29">
    <mergeCell ref="E22:F22"/>
    <mergeCell ref="G22:H22"/>
    <mergeCell ref="I22:J22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B14:I15"/>
    <mergeCell ref="E16:F16"/>
    <mergeCell ref="G16:H16"/>
    <mergeCell ref="I16:J16"/>
    <mergeCell ref="E17:F17"/>
    <mergeCell ref="G17:H17"/>
    <mergeCell ref="I17:J17"/>
    <mergeCell ref="K21:L21"/>
    <mergeCell ref="K22:L22"/>
    <mergeCell ref="K16:L16"/>
    <mergeCell ref="K17:L17"/>
    <mergeCell ref="K18:L18"/>
    <mergeCell ref="K19:L19"/>
    <mergeCell ref="K20:L20"/>
  </mergeCells>
  <pageMargins left="0.70866141732283472" right="0.70866141732283472" top="0.74803149606299213" bottom="0.74803149606299213" header="0.51181102362204722" footer="0.51181102362204722"/>
  <pageSetup paperSize="9" scale="80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2"/>
  <sheetViews>
    <sheetView windowProtection="1" zoomScale="80" zoomScaleNormal="80" workbookViewId="0">
      <selection activeCell="B37" sqref="B37"/>
    </sheetView>
  </sheetViews>
  <sheetFormatPr defaultRowHeight="15"/>
  <cols>
    <col min="1" max="1" width="8.7109375" customWidth="1"/>
    <col min="2" max="2" width="18.42578125" customWidth="1"/>
    <col min="3" max="3" width="19.140625" customWidth="1"/>
    <col min="4" max="4" width="18.5703125" customWidth="1"/>
    <col min="5" max="5" width="19.7109375" customWidth="1"/>
    <col min="6" max="6" width="19.140625" customWidth="1"/>
    <col min="7" max="7" width="15.7109375" customWidth="1"/>
    <col min="8" max="9" width="11.140625" customWidth="1"/>
    <col min="10" max="10" width="11" customWidth="1"/>
    <col min="11" max="11" width="12" customWidth="1"/>
    <col min="12" max="12" width="11.85546875" customWidth="1"/>
    <col min="13" max="13" width="12.5703125" customWidth="1"/>
    <col min="14" max="1025" width="8.7109375" customWidth="1"/>
  </cols>
  <sheetData>
    <row r="1" spans="2:7" ht="28.5">
      <c r="D1" s="139" t="s">
        <v>36</v>
      </c>
    </row>
    <row r="2" spans="2:7">
      <c r="B2" s="103"/>
      <c r="C2" s="103"/>
      <c r="D2" s="103"/>
      <c r="E2" s="103"/>
      <c r="F2" s="103"/>
    </row>
    <row r="3" spans="2:7" ht="16.5">
      <c r="B3" s="47" t="s">
        <v>33</v>
      </c>
      <c r="C3" s="48"/>
      <c r="D3" s="48"/>
      <c r="E3" s="48"/>
      <c r="F3" s="48"/>
    </row>
    <row r="4" spans="2:7" ht="15.75" thickBot="1">
      <c r="B4" s="38"/>
      <c r="C4" s="38"/>
      <c r="D4" s="38"/>
      <c r="E4" s="38"/>
      <c r="F4" s="38"/>
      <c r="G4" s="114">
        <v>80</v>
      </c>
    </row>
    <row r="5" spans="2:7" ht="16.5">
      <c r="B5" s="13" t="s">
        <v>1</v>
      </c>
      <c r="C5" s="29">
        <v>1</v>
      </c>
      <c r="D5" s="38"/>
      <c r="E5" s="51">
        <v>7</v>
      </c>
      <c r="F5" s="51">
        <v>6</v>
      </c>
    </row>
    <row r="6" spans="2:7" ht="16.5">
      <c r="B6" s="14" t="s">
        <v>2</v>
      </c>
      <c r="C6" s="30">
        <f>C7+C8</f>
        <v>81.010000000000005</v>
      </c>
      <c r="D6" s="38"/>
      <c r="E6" s="30">
        <f>E7+E8</f>
        <v>89.72999999999999</v>
      </c>
      <c r="F6" s="30">
        <f>F7+F8</f>
        <v>119.10999999999999</v>
      </c>
    </row>
    <row r="7" spans="2:7" ht="16.5">
      <c r="B7" s="14" t="s">
        <v>3</v>
      </c>
      <c r="C7" s="31">
        <f>62.57+4.3</f>
        <v>66.87</v>
      </c>
      <c r="D7" s="38"/>
      <c r="E7" s="43">
        <f>29.28+5.11+6.76+3.81+12.76</f>
        <v>57.72</v>
      </c>
      <c r="F7" s="43">
        <f>36.05+6.38+5.14+2.53+26.72</f>
        <v>76.819999999999993</v>
      </c>
    </row>
    <row r="8" spans="2:7" ht="16.5">
      <c r="B8" s="14" t="s">
        <v>4</v>
      </c>
      <c r="C8" s="31">
        <v>14.14</v>
      </c>
      <c r="D8" s="55"/>
      <c r="E8" s="43">
        <v>32.01</v>
      </c>
      <c r="F8" s="43">
        <f>30.04+12.25</f>
        <v>42.29</v>
      </c>
    </row>
    <row r="9" spans="2:7" ht="16.5">
      <c r="B9" s="14" t="s">
        <v>5</v>
      </c>
      <c r="C9" s="34">
        <f>C6*C11*G4</f>
        <v>38884800.000000007</v>
      </c>
      <c r="D9" s="55"/>
      <c r="E9" s="57">
        <f>E6*E11*G4</f>
        <v>43070399.999999993</v>
      </c>
      <c r="F9" s="57">
        <f>F6*F11*G4</f>
        <v>57172799.999999993</v>
      </c>
    </row>
    <row r="10" spans="2:7" ht="16.5">
      <c r="B10" s="16" t="s">
        <v>6</v>
      </c>
      <c r="C10" s="32"/>
      <c r="D10" s="60"/>
      <c r="E10" s="61"/>
      <c r="F10" s="61"/>
    </row>
    <row r="11" spans="2:7" ht="17.25" thickBot="1">
      <c r="B11" s="18" t="s">
        <v>7</v>
      </c>
      <c r="C11" s="33">
        <v>6000</v>
      </c>
      <c r="D11" s="60"/>
      <c r="E11" s="33">
        <v>6000</v>
      </c>
      <c r="F11" s="33">
        <v>6000</v>
      </c>
    </row>
    <row r="12" spans="2:7" ht="17.25" thickBot="1">
      <c r="B12" s="104"/>
      <c r="C12" s="105"/>
      <c r="D12" s="106"/>
      <c r="E12" s="69"/>
      <c r="F12" s="107"/>
    </row>
    <row r="13" spans="2:7" ht="16.5">
      <c r="B13" s="13" t="s">
        <v>1</v>
      </c>
      <c r="C13" s="29">
        <v>2</v>
      </c>
      <c r="D13" s="108">
        <v>3</v>
      </c>
      <c r="E13" s="51">
        <v>4</v>
      </c>
      <c r="F13" s="109">
        <v>5</v>
      </c>
    </row>
    <row r="14" spans="2:7" ht="16.5">
      <c r="B14" s="14" t="s">
        <v>2</v>
      </c>
      <c r="C14" s="30">
        <f>C15+C16</f>
        <v>137.08000000000001</v>
      </c>
      <c r="D14" s="30">
        <f>D15+D16</f>
        <v>125.04000000000002</v>
      </c>
      <c r="E14" s="30">
        <f>E15+E16</f>
        <v>127.72</v>
      </c>
      <c r="F14" s="30">
        <f>F15+F16</f>
        <v>141.16</v>
      </c>
    </row>
    <row r="15" spans="2:7" ht="16.5">
      <c r="B15" s="14" t="s">
        <v>3</v>
      </c>
      <c r="C15" s="31">
        <f>93.48+4.32+1.92</f>
        <v>99.720000000000013</v>
      </c>
      <c r="D15" s="110">
        <f>92.93+4.7+1.92+5.06</f>
        <v>104.61000000000001</v>
      </c>
      <c r="E15" s="43">
        <f>98.13+5.06+1.9+2.85</f>
        <v>107.94</v>
      </c>
      <c r="F15" s="43">
        <f>98.38+5.46</f>
        <v>103.83999999999999</v>
      </c>
    </row>
    <row r="16" spans="2:7" ht="16.5">
      <c r="B16" s="14" t="s">
        <v>4</v>
      </c>
      <c r="C16" s="31">
        <v>37.36</v>
      </c>
      <c r="D16" s="110">
        <v>20.43</v>
      </c>
      <c r="E16" s="43">
        <v>19.78</v>
      </c>
      <c r="F16" s="43">
        <v>37.32</v>
      </c>
    </row>
    <row r="17" spans="2:6" ht="16.5">
      <c r="B17" s="14" t="s">
        <v>5</v>
      </c>
      <c r="C17" s="34">
        <f>C14*C19*G4</f>
        <v>65798400.000000007</v>
      </c>
      <c r="D17" s="111">
        <f>D14*D19*G4</f>
        <v>60019200.000000007</v>
      </c>
      <c r="E17" s="57">
        <f>E14*E19*G4</f>
        <v>61305600</v>
      </c>
      <c r="F17" s="57">
        <f>F14*F19*G4</f>
        <v>67756800</v>
      </c>
    </row>
    <row r="18" spans="2:6" ht="16.5">
      <c r="B18" s="16" t="s">
        <v>6</v>
      </c>
      <c r="C18" s="32"/>
      <c r="D18" s="112"/>
      <c r="E18" s="61"/>
      <c r="F18" s="61"/>
    </row>
    <row r="19" spans="2:6" ht="17.25" thickBot="1">
      <c r="B19" s="18" t="s">
        <v>7</v>
      </c>
      <c r="C19" s="33">
        <v>6000</v>
      </c>
      <c r="D19" s="113">
        <v>6000</v>
      </c>
      <c r="E19" s="33">
        <v>6000</v>
      </c>
      <c r="F19" s="33">
        <v>6000</v>
      </c>
    </row>
    <row r="21" spans="2:6">
      <c r="B21" s="77"/>
      <c r="C21" s="77"/>
      <c r="D21" s="77"/>
      <c r="E21" s="77"/>
      <c r="F21" s="77"/>
    </row>
    <row r="22" spans="2:6" ht="28.5">
      <c r="D22" s="139" t="s">
        <v>34</v>
      </c>
    </row>
  </sheetData>
  <pageMargins left="0.70866141732283472" right="0.70866141732283472" top="0.74803149606299213" bottom="0.74803149606299213" header="0.51181102362204722" footer="0.51181102362204722"/>
  <pageSetup paperSize="9" scale="8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-3,600(1 этаж)</vt:lpstr>
      <vt:lpstr>+0,000(2 этаж)</vt:lpstr>
      <vt:lpstr>+3,300(3 этаж)</vt:lpstr>
      <vt:lpstr>+6,600(4 этаж)</vt:lpstr>
      <vt:lpstr>+9,900(5 этаж)</vt:lpstr>
      <vt:lpstr>+18,300(7 этаж)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Of45</dc:creator>
  <cp:lastModifiedBy>o45</cp:lastModifiedBy>
  <cp:revision>1</cp:revision>
  <cp:lastPrinted>2020-02-18T06:31:24Z</cp:lastPrinted>
  <dcterms:created xsi:type="dcterms:W3CDTF">2019-05-21T13:02:40Z</dcterms:created>
  <dcterms:modified xsi:type="dcterms:W3CDTF">2020-11-05T10:43:10Z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